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<sst xmlns="http://schemas.openxmlformats.org/spreadsheetml/2006/main" count="173" uniqueCount="159">
  <si>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</si>
  <si>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</si>
  <si>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</si>
  <si>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</si>
  <si>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</si>
  <si>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</si>
  <si>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</si>
  <si>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</si>
  <si>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</si>
  <si>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</si>
  <si>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</si>
  <si>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</si>
  <si>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</si>
  <si>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</si>
  <si>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</si>
  <si>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</si>
  <si>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</si>
  <si>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</si>
  <si>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</si>
  <si>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</si>
  <si>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</si>
  <si>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</si>
  <si>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</si>
  <si>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</si>
  <si>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</si>
  <si>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</si>
  <si>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</si>
  <si>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</si>
  <si>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</si>
  <si>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</si>
  <si>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</si>
  <si>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</si>
  <si>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</si>
  <si>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</si>
  <si>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</si>
  <si>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</si>
  <si>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</si>
  <si>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</si>
  <si>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</si>
  <si>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</si>
  <si>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</si>
  <si>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</si>
  <si>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</si>
  <si>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</si>
  <si>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</si>
  <si>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</si>
  <si>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</si>
  <si>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</si>
  <si>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</si>
  <si>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</si>
  <si>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</si>
  <si>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</si>
  <si>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</si>
  <si>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</si>
  <si>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</si>
  <si>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</si>
  <si>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</si>
  <si>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</si>
  <si>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</si>
  <si>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</si>
  <si>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</si>
  <si>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</si>
  <si>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</si>
  <si>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</si>
  <si>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</si>
  <si>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</si>
  <si>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</si>
  <si>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</si>
  <si>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</si>
  <si>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</si>
  <si>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</si>
  <si>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</si>
  <si>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</si>
  <si>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</si>
  <si>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</si>
  <si>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</si>
  <si>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</si>
  <si>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</si>
  <si>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</si>
  <si>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</si>
  <si>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</si>
  <si>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</si>
  <si>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</si>
  <si>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</si>
  <si>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</si>
  <si>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</si>
  <si>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</si>
  <si>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</si>
  <si>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</si>
  <si>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</si>
  <si>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</si>
  <si>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</si>
  <si>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</si>
  <si>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</si>
  <si>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</si>
  <si>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</si>
  <si>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</si>
  <si>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</si>
  <si>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</si>
  <si>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</si>
  <si>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</si>
  <si>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</si>
  <si>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</si>
  <si>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</si>
  <si>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</si>
  <si>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</si>
  <si>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</si>
  <si>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</si>
  <si>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</si>
  <si>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податки, що контролюються ДПІ</t>
  </si>
  <si>
    <t>податки, що не контролюються ДПІ</t>
  </si>
  <si>
    <t>ВСЬОГО</t>
  </si>
  <si>
    <t>Власні надходження бюджетних установ</t>
  </si>
  <si>
    <t>Всього доходи з офіційними трансфертами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</si>
  <si>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</si>
  <si>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</si>
  <si>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зф</t>
  </si>
  <si>
    <t>сф</t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</si>
  <si>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</si>
  <si>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</si>
  <si>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</si>
  <si>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</si>
  <si>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</si>
  <si>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</si>
  <si>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</si>
  <si>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t>ЦНАП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</si>
  <si>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</si>
  <si>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</si>
  <si>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</si>
  <si>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</si>
  <si>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</si>
  <si>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t>плата за надання адмінпослуг (220100)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</si>
  <si>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</si>
  <si>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</si>
  <si>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</si>
  <si>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</si>
  <si>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</si>
  <si>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</si>
  <si>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</si>
  <si>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</si>
  <si>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</si>
  <si>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</si>
  <si>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</si>
  <si>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</si>
  <si>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інші надходження (24060000)</t>
  </si>
  <si>
    <t>ВСІ інші  податки і збори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</si>
  <si>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2018 рік</t>
    </r>
  </si>
  <si>
    <t>Відхилення (+,-) до  плану на січень- 2018 року</t>
  </si>
  <si>
    <t>% виконання  плану на січень- 2018 року</t>
  </si>
  <si>
    <t>Відхилення (+,-) до  плану на І кв.2018 рік</t>
  </si>
  <si>
    <t>% виконання  плану на І кв.2018 рік</t>
  </si>
  <si>
    <t>Виконано у січні</t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</si>
  <si>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</si>
  <si>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 на січень-</t>
    </r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</si>
  <si>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</si>
  <si>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</si>
  <si>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</si>
  <si>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</si>
  <si>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31.01.2018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</si>
</sst>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5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4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6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31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3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4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6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3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6" fillId="0" borderId="10" xfId="0" applyNumberFormat="1" applyFont="1" applyFill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2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8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3" fillId="39" borderId="10" xfId="0" applyNumberFormat="1" applyFont="1" applyFill="1" applyBorder="1" applyAlignment="1">
      <alignment/>
    </xf>
    <xf numFmtId="182" fontId="83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40" borderId="10" xfId="0" applyNumberFormat="1" applyFont="1" applyFill="1" applyBorder="1" applyAlignment="1" applyProtection="1">
      <alignment/>
      <protection/>
    </xf>
    <xf numFmtId="191" fontId="3" fillId="40" borderId="10" xfId="0" applyNumberFormat="1" applyFont="1" applyFill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49" fontId="3" fillId="40" borderId="10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55" applyFont="1" applyFill="1" applyBorder="1" applyProtection="1">
      <alignment/>
      <protection/>
    </xf>
    <xf numFmtId="182" fontId="3" fillId="40" borderId="10" xfId="55" applyNumberFormat="1" applyFont="1" applyFill="1" applyBorder="1" applyProtection="1">
      <alignment/>
      <protection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3" fillId="40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horizontal="left"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4" xfId="55" applyFont="1" applyFill="1" applyBorder="1" applyAlignment="1" applyProtection="1">
      <alignment horizontal="left" vertical="center" wrapText="1"/>
      <protection/>
    </xf>
    <xf numFmtId="0" fontId="7" fillId="41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4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6" fillId="37" borderId="10" xfId="0" applyNumberFormat="1" applyFont="1" applyFill="1" applyBorder="1" applyAlignment="1" applyProtection="1">
      <alignment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36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6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0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5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3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4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7" fillId="0" borderId="0" xfId="55" applyFont="1" applyAlignment="1" applyProtection="1">
      <alignment horizontal="center"/>
      <protection/>
    </xf>
    <xf numFmtId="0" fontId="27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7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3" fillId="13" borderId="20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2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168"/>
  <sheetViews>
    <sheetView tabSelected="1"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1" customWidth="1"/>
    <col min="4" max="4" width="14.50390625" style="4" customWidth="1"/>
    <col min="5" max="5" width="14.00390625" style="4" customWidth="1"/>
    <col min="6" max="6" width="13.875" style="9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3.125" style="4" hidden="1" customWidth="1"/>
    <col min="16" max="16" width="11.875" style="189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235" hidden="1" customWidth="1"/>
    <col min="25" max="16384" width="9.125" style="4" customWidth="1"/>
  </cols>
  <sheetData>
    <row r="1" spans="1:24" s="1" customFormat="1" ht="26.25" customHeight="1">
      <c r="A1" s="362" t="s">
        <v>158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235"/>
    </row>
    <row r="2" spans="2:24" s="1" customFormat="1" ht="15.75" customHeight="1">
      <c r="B2" s="363"/>
      <c r="C2" s="363"/>
      <c r="D2" s="363"/>
      <c r="E2" s="2"/>
      <c r="F2" s="92"/>
      <c r="G2" s="2"/>
      <c r="H2" s="2"/>
      <c r="J2" s="1" t="s">
        <v>24</v>
      </c>
      <c r="P2" s="238"/>
      <c r="S2" s="1" t="s">
        <v>24</v>
      </c>
      <c r="W2" s="15" t="s">
        <v>24</v>
      </c>
      <c r="X2" s="235"/>
    </row>
    <row r="3" spans="1:24" s="3" customFormat="1" ht="13.5" customHeight="1">
      <c r="A3" s="364"/>
      <c r="B3" s="366"/>
      <c r="C3" s="367" t="s">
        <v>0</v>
      </c>
      <c r="D3" s="368" t="s">
        <v>146</v>
      </c>
      <c r="E3" s="28"/>
      <c r="F3" s="369" t="s">
        <v>26</v>
      </c>
      <c r="G3" s="370"/>
      <c r="H3" s="370"/>
      <c r="I3" s="370"/>
      <c r="J3" s="371"/>
      <c r="K3" s="77" t="s">
        <v>128</v>
      </c>
      <c r="L3" s="77"/>
      <c r="M3" s="77"/>
      <c r="N3" s="77" t="s">
        <v>128</v>
      </c>
      <c r="O3" s="77"/>
      <c r="P3" s="239"/>
      <c r="Q3" s="77"/>
      <c r="R3" s="77"/>
      <c r="S3" s="77"/>
      <c r="T3" s="372" t="s">
        <v>152</v>
      </c>
      <c r="U3" s="373" t="s">
        <v>151</v>
      </c>
      <c r="V3" s="373"/>
      <c r="W3" s="373"/>
      <c r="X3" s="259"/>
    </row>
    <row r="4" spans="1:23" ht="22.5" customHeight="1">
      <c r="A4" s="364"/>
      <c r="B4" s="366"/>
      <c r="C4" s="367"/>
      <c r="D4" s="368"/>
      <c r="E4" s="374" t="s">
        <v>153</v>
      </c>
      <c r="F4" s="356" t="s">
        <v>31</v>
      </c>
      <c r="G4" s="345" t="s">
        <v>147</v>
      </c>
      <c r="H4" s="358" t="s">
        <v>148</v>
      </c>
      <c r="I4" s="345" t="s">
        <v>149</v>
      </c>
      <c r="J4" s="358" t="s">
        <v>150</v>
      </c>
      <c r="K4" s="79" t="s">
        <v>129</v>
      </c>
      <c r="L4" s="166" t="s">
        <v>105</v>
      </c>
      <c r="M4" s="81" t="s">
        <v>61</v>
      </c>
      <c r="N4" s="79" t="s">
        <v>155</v>
      </c>
      <c r="O4" s="166" t="s">
        <v>105</v>
      </c>
      <c r="P4" s="240" t="s">
        <v>61</v>
      </c>
      <c r="Q4" s="79" t="s">
        <v>155</v>
      </c>
      <c r="R4" s="166" t="s">
        <v>105</v>
      </c>
      <c r="S4" s="81" t="s">
        <v>61</v>
      </c>
      <c r="T4" s="358"/>
      <c r="U4" s="360" t="s">
        <v>157</v>
      </c>
      <c r="V4" s="345" t="s">
        <v>47</v>
      </c>
      <c r="W4" s="347" t="s">
        <v>46</v>
      </c>
    </row>
    <row r="5" spans="1:23" ht="67.5" customHeight="1">
      <c r="A5" s="365"/>
      <c r="B5" s="366"/>
      <c r="C5" s="367"/>
      <c r="D5" s="368"/>
      <c r="E5" s="375"/>
      <c r="F5" s="357"/>
      <c r="G5" s="346"/>
      <c r="H5" s="359"/>
      <c r="I5" s="346"/>
      <c r="J5" s="359"/>
      <c r="K5" s="348" t="s">
        <v>130</v>
      </c>
      <c r="L5" s="349"/>
      <c r="M5" s="350"/>
      <c r="N5" s="351" t="s">
        <v>154</v>
      </c>
      <c r="O5" s="352"/>
      <c r="P5" s="353"/>
      <c r="Q5" s="354" t="s">
        <v>156</v>
      </c>
      <c r="R5" s="354"/>
      <c r="S5" s="354"/>
      <c r="T5" s="359"/>
      <c r="U5" s="361"/>
      <c r="V5" s="346"/>
      <c r="W5" s="347"/>
    </row>
    <row r="6" spans="1:23" ht="15.75" customHeight="1">
      <c r="A6" s="5" t="s">
        <v>1</v>
      </c>
      <c r="B6" s="10" t="s">
        <v>2</v>
      </c>
      <c r="C6" s="54" t="s">
        <v>3</v>
      </c>
      <c r="D6" s="10" t="s">
        <v>4</v>
      </c>
      <c r="E6" s="10" t="s">
        <v>5</v>
      </c>
      <c r="F6" s="112" t="s">
        <v>6</v>
      </c>
      <c r="G6" s="10" t="s">
        <v>7</v>
      </c>
      <c r="H6" s="10" t="s">
        <v>36</v>
      </c>
      <c r="I6" s="10" t="s">
        <v>58</v>
      </c>
      <c r="J6" s="10" t="s">
        <v>8</v>
      </c>
      <c r="K6" s="10"/>
      <c r="L6" s="10"/>
      <c r="M6" s="10"/>
      <c r="N6" s="10"/>
      <c r="O6" s="10"/>
      <c r="P6" s="241"/>
      <c r="Q6" s="10" t="s">
        <v>25</v>
      </c>
      <c r="R6" s="10"/>
      <c r="S6" s="10" t="s">
        <v>63</v>
      </c>
      <c r="T6" s="10" t="s">
        <v>64</v>
      </c>
      <c r="U6" s="117" t="s">
        <v>65</v>
      </c>
      <c r="V6" s="10" t="s">
        <v>66</v>
      </c>
      <c r="W6" s="10" t="s">
        <v>67</v>
      </c>
    </row>
    <row r="7" spans="1:23" ht="15.75" customHeight="1">
      <c r="A7" s="16"/>
      <c r="B7" s="17" t="s">
        <v>27</v>
      </c>
      <c r="C7" s="54"/>
      <c r="D7" s="10"/>
      <c r="E7" s="10"/>
      <c r="F7" s="112"/>
      <c r="G7" s="10"/>
      <c r="H7" s="10"/>
      <c r="I7" s="10"/>
      <c r="J7" s="10"/>
      <c r="K7" s="10"/>
      <c r="L7" s="10"/>
      <c r="M7" s="10"/>
      <c r="N7" s="10"/>
      <c r="O7" s="10"/>
      <c r="P7" s="241"/>
      <c r="Q7" s="10"/>
      <c r="R7" s="10"/>
      <c r="S7" s="10"/>
      <c r="T7" s="10"/>
      <c r="U7" s="117"/>
      <c r="V7" s="10"/>
      <c r="W7" s="10"/>
    </row>
    <row r="8" spans="1:24" s="6" customFormat="1" ht="17.25">
      <c r="A8" s="7"/>
      <c r="B8" s="125" t="s">
        <v>9</v>
      </c>
      <c r="C8" s="64" t="s">
        <v>10</v>
      </c>
      <c r="D8" s="123">
        <f>D9+D15+D18+D19+D23+D17</f>
        <v>333567.45</v>
      </c>
      <c r="E8" s="123">
        <f>E9+E15+E18+E19+E23+E17</f>
        <v>107083.15</v>
      </c>
      <c r="F8" s="123">
        <f>F9+F15+F18+F19+F23+F17</f>
        <v>100571.04999999999</v>
      </c>
      <c r="G8" s="123">
        <f>F8-E8</f>
        <v>-6512.100000000006</v>
      </c>
      <c r="H8" s="277">
        <f aca="true" t="shared" si="0" ref="H8:H15">F8/E8</f>
        <v>0.9391865106695124</v>
      </c>
      <c r="I8" s="124">
        <f aca="true" t="shared" si="1" ref="I8:I52">F8-D8</f>
        <v>-232996.40000000002</v>
      </c>
      <c r="J8" s="180">
        <f aca="true" t="shared" si="2" ref="J8:J14">F8/D8</f>
        <v>0.3015013904983834</v>
      </c>
      <c r="K8" s="124"/>
      <c r="L8" s="124"/>
      <c r="M8" s="124"/>
      <c r="N8" s="124">
        <v>1329586.12</v>
      </c>
      <c r="O8" s="124">
        <f aca="true" t="shared" si="3" ref="O8:O22">D8-N8</f>
        <v>-996018.6700000002</v>
      </c>
      <c r="P8" s="180">
        <f aca="true" t="shared" si="4" ref="P8:P22">D8/N8</f>
        <v>0.2508806650298064</v>
      </c>
      <c r="Q8" s="123">
        <v>93856.96</v>
      </c>
      <c r="R8" s="123">
        <f aca="true" t="shared" si="5" ref="R8:R78">F8-Q8</f>
        <v>6714.089999999982</v>
      </c>
      <c r="S8" s="167">
        <f aca="true" t="shared" si="6" ref="S8:S20">F8/Q8</f>
        <v>1.0715353448481602</v>
      </c>
      <c r="T8" s="123">
        <f>T9+T15+T18+T19+T23+T17</f>
        <v>107083.15</v>
      </c>
      <c r="U8" s="123">
        <f>U9+U15+U18+U19+U23+U17</f>
        <v>100571.04999999999</v>
      </c>
      <c r="V8" s="123">
        <f>U8-T8</f>
        <v>-6512.100000000006</v>
      </c>
      <c r="W8" s="167">
        <f aca="true" t="shared" si="7" ref="W8:W15">U8/T8</f>
        <v>0.9391865106695124</v>
      </c>
      <c r="X8" s="265">
        <f aca="true" t="shared" si="8" ref="X8:X22">S8-P8</f>
        <v>0.8206546798183538</v>
      </c>
    </row>
    <row r="9" spans="1:24" s="6" customFormat="1" ht="18">
      <c r="A9" s="8"/>
      <c r="B9" s="107" t="s">
        <v>74</v>
      </c>
      <c r="C9" s="37">
        <v>11010000</v>
      </c>
      <c r="D9" s="122">
        <v>201750.15</v>
      </c>
      <c r="E9" s="122">
        <v>61280.05</v>
      </c>
      <c r="F9" s="126">
        <v>53588.28</v>
      </c>
      <c r="G9" s="122">
        <f>F9-E9</f>
        <v>-7691.770000000004</v>
      </c>
      <c r="H9" s="275">
        <f t="shared" si="0"/>
        <v>0.8744816624660064</v>
      </c>
      <c r="I9" s="128">
        <f t="shared" si="1"/>
        <v>-148161.87</v>
      </c>
      <c r="J9" s="172">
        <f t="shared" si="2"/>
        <v>0.26561705158583526</v>
      </c>
      <c r="K9" s="128"/>
      <c r="L9" s="128"/>
      <c r="M9" s="128"/>
      <c r="N9" s="128">
        <v>775821.8</v>
      </c>
      <c r="O9" s="128">
        <f t="shared" si="3"/>
        <v>-574071.65</v>
      </c>
      <c r="P9" s="172">
        <f t="shared" si="4"/>
        <v>0.26004702368507815</v>
      </c>
      <c r="Q9" s="186">
        <v>46924.93</v>
      </c>
      <c r="R9" s="129">
        <f t="shared" si="5"/>
        <v>6663.3499999999985</v>
      </c>
      <c r="S9" s="168">
        <f t="shared" si="6"/>
        <v>1.1420002118277002</v>
      </c>
      <c r="T9" s="127">
        <f>E9-0</f>
        <v>61280.05</v>
      </c>
      <c r="U9" s="130">
        <f>F9-0</f>
        <v>53588.28</v>
      </c>
      <c r="V9" s="131">
        <f>U9-T9</f>
        <v>-7691.770000000004</v>
      </c>
      <c r="W9" s="172">
        <f t="shared" si="7"/>
        <v>0.8744816624660064</v>
      </c>
      <c r="X9" s="266">
        <f t="shared" si="8"/>
        <v>0.881953188142622</v>
      </c>
    </row>
    <row r="10" spans="1:24" s="6" customFormat="1" ht="15" customHeight="1" hidden="1">
      <c r="A10" s="8"/>
      <c r="B10" s="98" t="s">
        <v>84</v>
      </c>
      <c r="C10" s="85">
        <v>11010100</v>
      </c>
      <c r="D10" s="86">
        <v>184090.16</v>
      </c>
      <c r="E10" s="86">
        <v>56130.05</v>
      </c>
      <c r="F10" s="114">
        <v>48796.88</v>
      </c>
      <c r="G10" s="86">
        <f aca="true" t="shared" si="9" ref="G10:G47">F10-E10</f>
        <v>-7333.1700000000055</v>
      </c>
      <c r="H10" s="276">
        <f t="shared" si="0"/>
        <v>0.8693539378639427</v>
      </c>
      <c r="I10" s="87">
        <f t="shared" si="1"/>
        <v>-135293.28</v>
      </c>
      <c r="J10" s="90">
        <f t="shared" si="2"/>
        <v>0.2650705502130043</v>
      </c>
      <c r="K10" s="87"/>
      <c r="L10" s="87"/>
      <c r="M10" s="87"/>
      <c r="N10" s="87">
        <v>709899.75</v>
      </c>
      <c r="O10" s="87">
        <f t="shared" si="3"/>
        <v>-525809.59</v>
      </c>
      <c r="P10" s="90">
        <f t="shared" si="4"/>
        <v>0.2593185305389951</v>
      </c>
      <c r="Q10" s="89">
        <v>43142.93</v>
      </c>
      <c r="R10" s="89">
        <f t="shared" si="5"/>
        <v>5653.949999999997</v>
      </c>
      <c r="S10" s="169">
        <f t="shared" si="6"/>
        <v>1.1310515998797486</v>
      </c>
      <c r="T10" s="88">
        <f aca="true" t="shared" si="10" ref="T10:T52">E10</f>
        <v>56130.05</v>
      </c>
      <c r="U10" s="118">
        <f aca="true" t="shared" si="11" ref="U10:U52">F10</f>
        <v>48796.88</v>
      </c>
      <c r="V10" s="89">
        <f aca="true" t="shared" si="12" ref="V10:V52">U10-T10</f>
        <v>-7333.1700000000055</v>
      </c>
      <c r="W10" s="90">
        <f t="shared" si="7"/>
        <v>0.8693539378639427</v>
      </c>
      <c r="X10" s="264">
        <f t="shared" si="8"/>
        <v>0.8717330693407535</v>
      </c>
    </row>
    <row r="11" spans="1:24" s="6" customFormat="1" ht="15" customHeight="1" hidden="1">
      <c r="A11" s="8"/>
      <c r="B11" s="98" t="s">
        <v>80</v>
      </c>
      <c r="C11" s="85">
        <v>11010200</v>
      </c>
      <c r="D11" s="86">
        <v>12800</v>
      </c>
      <c r="E11" s="86">
        <v>4000</v>
      </c>
      <c r="F11" s="114">
        <v>3479.57</v>
      </c>
      <c r="G11" s="86">
        <f t="shared" si="9"/>
        <v>-520.4299999999998</v>
      </c>
      <c r="H11" s="276">
        <f t="shared" si="0"/>
        <v>0.8698925000000001</v>
      </c>
      <c r="I11" s="87">
        <f t="shared" si="1"/>
        <v>-9320.43</v>
      </c>
      <c r="J11" s="90">
        <f t="shared" si="2"/>
        <v>0.27184140625000003</v>
      </c>
      <c r="K11" s="87"/>
      <c r="L11" s="87"/>
      <c r="M11" s="87"/>
      <c r="N11" s="87">
        <v>42516.41</v>
      </c>
      <c r="O11" s="87">
        <f t="shared" si="3"/>
        <v>-29716.410000000003</v>
      </c>
      <c r="P11" s="90">
        <f t="shared" si="4"/>
        <v>0.3010602259221792</v>
      </c>
      <c r="Q11" s="89">
        <v>2681.7</v>
      </c>
      <c r="R11" s="89">
        <f t="shared" si="5"/>
        <v>797.8700000000003</v>
      </c>
      <c r="S11" s="169">
        <f t="shared" si="6"/>
        <v>1.2975239586829252</v>
      </c>
      <c r="T11" s="88">
        <f t="shared" si="10"/>
        <v>4000</v>
      </c>
      <c r="U11" s="118">
        <f t="shared" si="11"/>
        <v>3479.57</v>
      </c>
      <c r="V11" s="89">
        <f t="shared" si="12"/>
        <v>-520.4299999999998</v>
      </c>
      <c r="W11" s="90">
        <f t="shared" si="7"/>
        <v>0.8698925000000001</v>
      </c>
      <c r="X11" s="264">
        <f t="shared" si="8"/>
        <v>0.9964637327607461</v>
      </c>
    </row>
    <row r="12" spans="1:24" s="6" customFormat="1" ht="15" customHeight="1" hidden="1">
      <c r="A12" s="8"/>
      <c r="B12" s="98" t="s">
        <v>83</v>
      </c>
      <c r="C12" s="85">
        <v>11010400</v>
      </c>
      <c r="D12" s="86">
        <v>2110</v>
      </c>
      <c r="E12" s="86">
        <v>600</v>
      </c>
      <c r="F12" s="114">
        <v>725.11</v>
      </c>
      <c r="G12" s="86">
        <f t="shared" si="9"/>
        <v>125.11000000000001</v>
      </c>
      <c r="H12" s="276">
        <f t="shared" si="0"/>
        <v>1.2085166666666667</v>
      </c>
      <c r="I12" s="87">
        <f t="shared" si="1"/>
        <v>-1384.8899999999999</v>
      </c>
      <c r="J12" s="90">
        <f t="shared" si="2"/>
        <v>0.34365402843601894</v>
      </c>
      <c r="K12" s="87"/>
      <c r="L12" s="87"/>
      <c r="M12" s="87"/>
      <c r="N12" s="87">
        <v>11992.15</v>
      </c>
      <c r="O12" s="87">
        <f t="shared" si="3"/>
        <v>-9882.15</v>
      </c>
      <c r="P12" s="90">
        <f t="shared" si="4"/>
        <v>0.17594843293321047</v>
      </c>
      <c r="Q12" s="89">
        <v>500.43</v>
      </c>
      <c r="R12" s="89">
        <f t="shared" si="5"/>
        <v>224.68</v>
      </c>
      <c r="S12" s="169">
        <f t="shared" si="6"/>
        <v>1.4489738824610834</v>
      </c>
      <c r="T12" s="88">
        <f t="shared" si="10"/>
        <v>600</v>
      </c>
      <c r="U12" s="118">
        <f t="shared" si="11"/>
        <v>725.11</v>
      </c>
      <c r="V12" s="89">
        <f t="shared" si="12"/>
        <v>125.11000000000001</v>
      </c>
      <c r="W12" s="90">
        <f t="shared" si="7"/>
        <v>1.2085166666666667</v>
      </c>
      <c r="X12" s="264">
        <f t="shared" si="8"/>
        <v>1.273025449527873</v>
      </c>
    </row>
    <row r="13" spans="1:24" s="6" customFormat="1" ht="15" customHeight="1" hidden="1">
      <c r="A13" s="8"/>
      <c r="B13" s="98" t="s">
        <v>81</v>
      </c>
      <c r="C13" s="85">
        <v>11010500</v>
      </c>
      <c r="D13" s="86">
        <v>2600</v>
      </c>
      <c r="E13" s="86">
        <v>500</v>
      </c>
      <c r="F13" s="114">
        <v>441.08</v>
      </c>
      <c r="G13" s="86">
        <f t="shared" si="9"/>
        <v>-58.920000000000016</v>
      </c>
      <c r="H13" s="276">
        <f t="shared" si="0"/>
        <v>0.8821599999999999</v>
      </c>
      <c r="I13" s="87">
        <f t="shared" si="1"/>
        <v>-2158.92</v>
      </c>
      <c r="J13" s="90">
        <f t="shared" si="2"/>
        <v>0.16964615384615384</v>
      </c>
      <c r="K13" s="87"/>
      <c r="L13" s="87"/>
      <c r="M13" s="87"/>
      <c r="N13" s="87">
        <v>10036.81</v>
      </c>
      <c r="O13" s="87">
        <f t="shared" si="3"/>
        <v>-7436.8099999999995</v>
      </c>
      <c r="P13" s="90">
        <f t="shared" si="4"/>
        <v>0.25904645001748566</v>
      </c>
      <c r="Q13" s="89">
        <v>499.36</v>
      </c>
      <c r="R13" s="89">
        <f t="shared" si="5"/>
        <v>-58.28000000000003</v>
      </c>
      <c r="S13" s="169">
        <f t="shared" si="6"/>
        <v>0.8832906119833386</v>
      </c>
      <c r="T13" s="88">
        <f t="shared" si="10"/>
        <v>500</v>
      </c>
      <c r="U13" s="118">
        <f t="shared" si="11"/>
        <v>441.08</v>
      </c>
      <c r="V13" s="89">
        <f t="shared" si="12"/>
        <v>-58.920000000000016</v>
      </c>
      <c r="W13" s="90">
        <f t="shared" si="7"/>
        <v>0.8821599999999999</v>
      </c>
      <c r="X13" s="264">
        <f t="shared" si="8"/>
        <v>0.624244161965853</v>
      </c>
    </row>
    <row r="14" spans="1:24" s="6" customFormat="1" ht="15" customHeight="1" hidden="1">
      <c r="A14" s="8"/>
      <c r="B14" s="98" t="s">
        <v>82</v>
      </c>
      <c r="C14" s="85">
        <v>11010900</v>
      </c>
      <c r="D14" s="86">
        <v>150</v>
      </c>
      <c r="E14" s="86">
        <v>50</v>
      </c>
      <c r="F14" s="114">
        <v>145.63</v>
      </c>
      <c r="G14" s="86">
        <f t="shared" si="9"/>
        <v>95.63</v>
      </c>
      <c r="H14" s="276">
        <f t="shared" si="0"/>
        <v>2.9126</v>
      </c>
      <c r="I14" s="87">
        <f t="shared" si="1"/>
        <v>-4.3700000000000045</v>
      </c>
      <c r="J14" s="90">
        <f t="shared" si="2"/>
        <v>0.9708666666666667</v>
      </c>
      <c r="K14" s="87"/>
      <c r="L14" s="87"/>
      <c r="M14" s="87"/>
      <c r="N14" s="87">
        <v>1376.68</v>
      </c>
      <c r="O14" s="87">
        <f t="shared" si="3"/>
        <v>-1226.68</v>
      </c>
      <c r="P14" s="90">
        <f t="shared" si="4"/>
        <v>0.10895778249121073</v>
      </c>
      <c r="Q14" s="89">
        <v>100.5</v>
      </c>
      <c r="R14" s="89">
        <f t="shared" si="5"/>
        <v>45.129999999999995</v>
      </c>
      <c r="S14" s="169">
        <f t="shared" si="6"/>
        <v>1.4490547263681592</v>
      </c>
      <c r="T14" s="88">
        <f t="shared" si="10"/>
        <v>50</v>
      </c>
      <c r="U14" s="118">
        <f t="shared" si="11"/>
        <v>145.63</v>
      </c>
      <c r="V14" s="89">
        <f t="shared" si="12"/>
        <v>95.63</v>
      </c>
      <c r="W14" s="90">
        <f t="shared" si="7"/>
        <v>2.9126</v>
      </c>
      <c r="X14" s="264">
        <f t="shared" si="8"/>
        <v>1.3400969438769486</v>
      </c>
    </row>
    <row r="15" spans="1:24" s="6" customFormat="1" ht="30.75">
      <c r="A15" s="8"/>
      <c r="B15" s="108" t="s">
        <v>11</v>
      </c>
      <c r="C15" s="37">
        <v>11020200</v>
      </c>
      <c r="D15" s="122">
        <v>14</v>
      </c>
      <c r="E15" s="122">
        <v>0</v>
      </c>
      <c r="F15" s="126">
        <v>0</v>
      </c>
      <c r="G15" s="122">
        <f t="shared" si="9"/>
        <v>0</v>
      </c>
      <c r="H15" s="275" t="e">
        <f t="shared" si="0"/>
        <v>#DIV/0!</v>
      </c>
      <c r="I15" s="128">
        <f t="shared" si="1"/>
        <v>-14</v>
      </c>
      <c r="J15" s="128">
        <f aca="true" t="shared" si="13" ref="J15:J23">F15/D15*100</f>
        <v>0</v>
      </c>
      <c r="K15" s="128"/>
      <c r="L15" s="128"/>
      <c r="M15" s="128"/>
      <c r="N15" s="128">
        <v>887.61</v>
      </c>
      <c r="O15" s="128">
        <f t="shared" si="3"/>
        <v>-873.61</v>
      </c>
      <c r="P15" s="172">
        <f t="shared" si="4"/>
        <v>0.015772692961999076</v>
      </c>
      <c r="Q15" s="131">
        <v>0</v>
      </c>
      <c r="R15" s="131">
        <f t="shared" si="5"/>
        <v>0</v>
      </c>
      <c r="S15" s="170" t="e">
        <f t="shared" si="6"/>
        <v>#DIV/0!</v>
      </c>
      <c r="T15" s="127">
        <f t="shared" si="10"/>
        <v>0</v>
      </c>
      <c r="U15" s="130">
        <f t="shared" si="11"/>
        <v>0</v>
      </c>
      <c r="V15" s="131">
        <f t="shared" si="12"/>
        <v>0</v>
      </c>
      <c r="W15" s="172" t="e">
        <f t="shared" si="7"/>
        <v>#DIV/0!</v>
      </c>
      <c r="X15" s="263" t="e">
        <f t="shared" si="8"/>
        <v>#DIV/0!</v>
      </c>
    </row>
    <row r="16" spans="1:24" s="6" customFormat="1" ht="18" customHeight="1" hidden="1">
      <c r="A16" s="8"/>
      <c r="B16" s="261" t="s">
        <v>62</v>
      </c>
      <c r="C16" s="85">
        <v>11010232</v>
      </c>
      <c r="D16" s="86">
        <v>0</v>
      </c>
      <c r="E16" s="122">
        <f>D16</f>
        <v>0</v>
      </c>
      <c r="F16" s="114">
        <v>0</v>
      </c>
      <c r="G16" s="122">
        <f t="shared" si="9"/>
        <v>0</v>
      </c>
      <c r="H16" s="275" t="e">
        <f>F16/E16/100</f>
        <v>#DIV/0!</v>
      </c>
      <c r="I16" s="128">
        <f t="shared" si="1"/>
        <v>0</v>
      </c>
      <c r="J16" s="128" t="e">
        <f t="shared" si="13"/>
        <v>#DIV/0!</v>
      </c>
      <c r="K16" s="128"/>
      <c r="L16" s="128"/>
      <c r="M16" s="128"/>
      <c r="N16" s="128"/>
      <c r="O16" s="128">
        <f t="shared" si="3"/>
        <v>0</v>
      </c>
      <c r="P16" s="172" t="e">
        <f t="shared" si="4"/>
        <v>#DIV/0!</v>
      </c>
      <c r="Q16" s="131">
        <f>N16</f>
        <v>0</v>
      </c>
      <c r="R16" s="131">
        <f t="shared" si="5"/>
        <v>0</v>
      </c>
      <c r="S16" s="170" t="e">
        <f t="shared" si="6"/>
        <v>#DIV/0!</v>
      </c>
      <c r="T16" s="127">
        <f t="shared" si="10"/>
        <v>0</v>
      </c>
      <c r="U16" s="130">
        <f t="shared" si="11"/>
        <v>0</v>
      </c>
      <c r="V16" s="131">
        <f t="shared" si="12"/>
        <v>0</v>
      </c>
      <c r="W16" s="172" t="e">
        <f>U16/T16*100</f>
        <v>#DIV/0!</v>
      </c>
      <c r="X16" s="263" t="e">
        <f t="shared" si="8"/>
        <v>#DIV/0!</v>
      </c>
    </row>
    <row r="17" spans="1:24" s="6" customFormat="1" ht="30.75" customHeight="1">
      <c r="A17" s="8"/>
      <c r="B17" s="184" t="s">
        <v>107</v>
      </c>
      <c r="C17" s="97">
        <v>13010200</v>
      </c>
      <c r="D17" s="132">
        <v>0</v>
      </c>
      <c r="E17" s="122">
        <f>D17</f>
        <v>0</v>
      </c>
      <c r="F17" s="133">
        <v>0</v>
      </c>
      <c r="G17" s="122">
        <f t="shared" si="9"/>
        <v>0</v>
      </c>
      <c r="H17" s="275"/>
      <c r="I17" s="128">
        <f t="shared" si="1"/>
        <v>0</v>
      </c>
      <c r="J17" s="128"/>
      <c r="K17" s="128"/>
      <c r="L17" s="128"/>
      <c r="M17" s="128"/>
      <c r="N17" s="128">
        <v>0.49</v>
      </c>
      <c r="O17" s="128">
        <f t="shared" si="3"/>
        <v>-0.49</v>
      </c>
      <c r="P17" s="172">
        <f t="shared" si="4"/>
        <v>0</v>
      </c>
      <c r="Q17" s="131">
        <v>0</v>
      </c>
      <c r="R17" s="131">
        <f t="shared" si="5"/>
        <v>0</v>
      </c>
      <c r="S17" s="170" t="e">
        <f t="shared" si="6"/>
        <v>#DIV/0!</v>
      </c>
      <c r="T17" s="127">
        <f t="shared" si="10"/>
        <v>0</v>
      </c>
      <c r="U17" s="130">
        <f t="shared" si="11"/>
        <v>0</v>
      </c>
      <c r="V17" s="131">
        <f t="shared" si="12"/>
        <v>0</v>
      </c>
      <c r="W17" s="172"/>
      <c r="X17" s="263" t="e">
        <f t="shared" si="8"/>
        <v>#DIV/0!</v>
      </c>
    </row>
    <row r="18" spans="1:24" s="6" customFormat="1" ht="30.75">
      <c r="A18" s="8"/>
      <c r="B18" s="107" t="s">
        <v>108</v>
      </c>
      <c r="C18" s="97">
        <v>13030200</v>
      </c>
      <c r="D18" s="122">
        <v>110</v>
      </c>
      <c r="E18" s="122">
        <v>0</v>
      </c>
      <c r="F18" s="126">
        <v>0</v>
      </c>
      <c r="G18" s="122">
        <f t="shared" si="9"/>
        <v>0</v>
      </c>
      <c r="H18" s="275" t="e">
        <f aca="true" t="shared" si="14" ref="H18:H41">F18/E18</f>
        <v>#DIV/0!</v>
      </c>
      <c r="I18" s="128">
        <f t="shared" si="1"/>
        <v>-110</v>
      </c>
      <c r="J18" s="128">
        <f t="shared" si="13"/>
        <v>0</v>
      </c>
      <c r="K18" s="128"/>
      <c r="L18" s="128"/>
      <c r="M18" s="128"/>
      <c r="N18" s="128">
        <v>220.59</v>
      </c>
      <c r="O18" s="128">
        <f t="shared" si="3"/>
        <v>-110.59</v>
      </c>
      <c r="P18" s="172">
        <f t="shared" si="4"/>
        <v>0.4986626773652477</v>
      </c>
      <c r="Q18" s="131">
        <v>0</v>
      </c>
      <c r="R18" s="131">
        <f t="shared" si="5"/>
        <v>0</v>
      </c>
      <c r="S18" s="170" t="e">
        <f t="shared" si="6"/>
        <v>#DIV/0!</v>
      </c>
      <c r="T18" s="127">
        <f t="shared" si="10"/>
        <v>0</v>
      </c>
      <c r="U18" s="130">
        <f t="shared" si="11"/>
        <v>0</v>
      </c>
      <c r="V18" s="131">
        <f t="shared" si="12"/>
        <v>0</v>
      </c>
      <c r="W18" s="172" t="e">
        <f aca="true" t="shared" si="15" ref="W18:W25">U18/T18</f>
        <v>#DIV/0!</v>
      </c>
      <c r="X18" s="263" t="e">
        <f t="shared" si="8"/>
        <v>#DIV/0!</v>
      </c>
    </row>
    <row r="19" spans="1:24" s="6" customFormat="1" ht="18">
      <c r="A19" s="8"/>
      <c r="B19" s="107" t="s">
        <v>120</v>
      </c>
      <c r="C19" s="37"/>
      <c r="D19" s="122">
        <v>20300</v>
      </c>
      <c r="E19" s="122">
        <v>4500</v>
      </c>
      <c r="F19" s="183">
        <v>4940.92</v>
      </c>
      <c r="G19" s="122">
        <f t="shared" si="9"/>
        <v>440.9200000000001</v>
      </c>
      <c r="H19" s="275">
        <f t="shared" si="14"/>
        <v>1.0979822222222222</v>
      </c>
      <c r="I19" s="128">
        <f t="shared" si="1"/>
        <v>-15359.08</v>
      </c>
      <c r="J19" s="128">
        <f t="shared" si="13"/>
        <v>24.339507389162563</v>
      </c>
      <c r="K19" s="128"/>
      <c r="L19" s="128"/>
      <c r="M19" s="128"/>
      <c r="N19" s="128">
        <v>121950.14</v>
      </c>
      <c r="O19" s="128">
        <f t="shared" si="3"/>
        <v>-101650.14</v>
      </c>
      <c r="P19" s="172">
        <f t="shared" si="4"/>
        <v>0.16646147351696358</v>
      </c>
      <c r="Q19" s="131">
        <v>9751.75</v>
      </c>
      <c r="R19" s="131">
        <f t="shared" si="5"/>
        <v>-4810.83</v>
      </c>
      <c r="S19" s="170">
        <f t="shared" si="6"/>
        <v>0.5066700848565642</v>
      </c>
      <c r="T19" s="127">
        <f t="shared" si="10"/>
        <v>4500</v>
      </c>
      <c r="U19" s="130">
        <f t="shared" si="11"/>
        <v>4940.92</v>
      </c>
      <c r="V19" s="131">
        <f t="shared" si="12"/>
        <v>440.9200000000001</v>
      </c>
      <c r="W19" s="172">
        <f t="shared" si="15"/>
        <v>1.0979822222222222</v>
      </c>
      <c r="X19" s="263">
        <f t="shared" si="8"/>
        <v>0.34020861133960056</v>
      </c>
    </row>
    <row r="20" spans="1:24" s="6" customFormat="1" ht="61.5">
      <c r="A20" s="8"/>
      <c r="B20" s="202" t="s">
        <v>126</v>
      </c>
      <c r="C20" s="100">
        <v>14040000</v>
      </c>
      <c r="D20" s="203">
        <v>13500</v>
      </c>
      <c r="E20" s="203">
        <v>4500</v>
      </c>
      <c r="F20" s="164">
        <v>4940.92</v>
      </c>
      <c r="G20" s="203">
        <f t="shared" si="9"/>
        <v>440.9200000000001</v>
      </c>
      <c r="H20" s="278">
        <f t="shared" si="14"/>
        <v>1.0979822222222222</v>
      </c>
      <c r="I20" s="204">
        <f t="shared" si="1"/>
        <v>-8559.08</v>
      </c>
      <c r="J20" s="204">
        <f t="shared" si="13"/>
        <v>36.599407407407405</v>
      </c>
      <c r="K20" s="204"/>
      <c r="L20" s="204"/>
      <c r="M20" s="204"/>
      <c r="N20" s="204">
        <v>60736.45</v>
      </c>
      <c r="O20" s="204">
        <f t="shared" si="3"/>
        <v>-47236.45</v>
      </c>
      <c r="P20" s="229">
        <f t="shared" si="4"/>
        <v>0.2222717988950622</v>
      </c>
      <c r="Q20" s="136">
        <v>9751.75</v>
      </c>
      <c r="R20" s="136">
        <f t="shared" si="5"/>
        <v>-4810.83</v>
      </c>
      <c r="S20" s="205">
        <f t="shared" si="6"/>
        <v>0.5066700848565642</v>
      </c>
      <c r="T20" s="159">
        <f t="shared" si="10"/>
        <v>4500</v>
      </c>
      <c r="U20" s="144">
        <f t="shared" si="11"/>
        <v>4940.92</v>
      </c>
      <c r="V20" s="136">
        <f t="shared" si="12"/>
        <v>440.9200000000001</v>
      </c>
      <c r="W20" s="229">
        <f t="shared" si="15"/>
        <v>1.0979822222222222</v>
      </c>
      <c r="X20" s="263">
        <f t="shared" si="8"/>
        <v>0.28439828596150196</v>
      </c>
    </row>
    <row r="21" spans="1:24" s="6" customFormat="1" ht="18">
      <c r="A21" s="8"/>
      <c r="B21" s="202" t="s">
        <v>118</v>
      </c>
      <c r="C21" s="100">
        <v>14021900</v>
      </c>
      <c r="D21" s="203">
        <v>1200</v>
      </c>
      <c r="E21" s="203">
        <v>0</v>
      </c>
      <c r="F21" s="164">
        <v>0</v>
      </c>
      <c r="G21" s="203">
        <f t="shared" si="9"/>
        <v>0</v>
      </c>
      <c r="H21" s="278" t="e">
        <f t="shared" si="14"/>
        <v>#DIV/0!</v>
      </c>
      <c r="I21" s="204">
        <f t="shared" si="1"/>
        <v>-1200</v>
      </c>
      <c r="J21" s="204">
        <f t="shared" si="13"/>
        <v>0</v>
      </c>
      <c r="K21" s="204"/>
      <c r="L21" s="204"/>
      <c r="M21" s="204"/>
      <c r="N21" s="204">
        <v>12528.71</v>
      </c>
      <c r="O21" s="204">
        <f t="shared" si="3"/>
        <v>-11328.71</v>
      </c>
      <c r="P21" s="229">
        <f t="shared" si="4"/>
        <v>0.09578001246736496</v>
      </c>
      <c r="Q21" s="136">
        <v>0</v>
      </c>
      <c r="R21" s="136">
        <f t="shared" si="5"/>
        <v>0</v>
      </c>
      <c r="S21" s="205"/>
      <c r="T21" s="159">
        <f t="shared" si="10"/>
        <v>0</v>
      </c>
      <c r="U21" s="144">
        <f t="shared" si="11"/>
        <v>0</v>
      </c>
      <c r="V21" s="136">
        <f t="shared" si="12"/>
        <v>0</v>
      </c>
      <c r="W21" s="229" t="e">
        <f t="shared" si="15"/>
        <v>#DIV/0!</v>
      </c>
      <c r="X21" s="263">
        <f t="shared" si="8"/>
        <v>-0.09578001246736496</v>
      </c>
    </row>
    <row r="22" spans="1:24" s="6" customFormat="1" ht="18">
      <c r="A22" s="8"/>
      <c r="B22" s="202" t="s">
        <v>119</v>
      </c>
      <c r="C22" s="100">
        <v>14031900</v>
      </c>
      <c r="D22" s="203">
        <v>5600</v>
      </c>
      <c r="E22" s="203">
        <v>0</v>
      </c>
      <c r="F22" s="164">
        <v>0</v>
      </c>
      <c r="G22" s="203">
        <f t="shared" si="9"/>
        <v>0</v>
      </c>
      <c r="H22" s="278" t="e">
        <f t="shared" si="14"/>
        <v>#DIV/0!</v>
      </c>
      <c r="I22" s="204">
        <f t="shared" si="1"/>
        <v>-5600</v>
      </c>
      <c r="J22" s="204">
        <f t="shared" si="13"/>
        <v>0</v>
      </c>
      <c r="K22" s="204"/>
      <c r="L22" s="204"/>
      <c r="M22" s="204"/>
      <c r="N22" s="204">
        <v>48684.98</v>
      </c>
      <c r="O22" s="204">
        <f t="shared" si="3"/>
        <v>-43084.98</v>
      </c>
      <c r="P22" s="229">
        <f t="shared" si="4"/>
        <v>0.11502520900696682</v>
      </c>
      <c r="Q22" s="136">
        <v>0</v>
      </c>
      <c r="R22" s="136">
        <f t="shared" si="5"/>
        <v>0</v>
      </c>
      <c r="S22" s="205"/>
      <c r="T22" s="159">
        <f t="shared" si="10"/>
        <v>0</v>
      </c>
      <c r="U22" s="144">
        <f t="shared" si="11"/>
        <v>0</v>
      </c>
      <c r="V22" s="136">
        <f t="shared" si="12"/>
        <v>0</v>
      </c>
      <c r="W22" s="229" t="e">
        <f t="shared" si="15"/>
        <v>#DIV/0!</v>
      </c>
      <c r="X22" s="263">
        <f t="shared" si="8"/>
        <v>-0.11502520900696682</v>
      </c>
    </row>
    <row r="23" spans="1:27" s="6" customFormat="1" ht="18">
      <c r="A23" s="8"/>
      <c r="B23" s="262" t="s">
        <v>68</v>
      </c>
      <c r="C23" s="37">
        <v>18000000</v>
      </c>
      <c r="D23" s="122">
        <f>D24+D43+D47+D42</f>
        <v>111393.3</v>
      </c>
      <c r="E23" s="122">
        <f>E24+E43+E47+E42</f>
        <v>41303.1</v>
      </c>
      <c r="F23" s="183">
        <v>42041.85</v>
      </c>
      <c r="G23" s="122">
        <f t="shared" si="9"/>
        <v>738.75</v>
      </c>
      <c r="H23" s="275">
        <f t="shared" si="14"/>
        <v>1.0178860666632772</v>
      </c>
      <c r="I23" s="128">
        <f t="shared" si="1"/>
        <v>-69351.45000000001</v>
      </c>
      <c r="J23" s="128">
        <f t="shared" si="13"/>
        <v>37.741812119759444</v>
      </c>
      <c r="K23" s="128"/>
      <c r="L23" s="128"/>
      <c r="M23" s="128"/>
      <c r="N23" s="128">
        <v>430705.5</v>
      </c>
      <c r="O23" s="128">
        <f aca="true" t="shared" si="16" ref="O23:O51">D23-N23</f>
        <v>-319312.2</v>
      </c>
      <c r="P23" s="172">
        <f aca="true" t="shared" si="17" ref="P23:P51">D23/N23</f>
        <v>0.2586298526487356</v>
      </c>
      <c r="Q23" s="128">
        <v>37180.29</v>
      </c>
      <c r="R23" s="131">
        <f t="shared" si="5"/>
        <v>4861.559999999998</v>
      </c>
      <c r="S23" s="171">
        <f aca="true" t="shared" si="18" ref="S23:S41">F23/Q23</f>
        <v>1.1307563765640343</v>
      </c>
      <c r="T23" s="127">
        <f t="shared" si="10"/>
        <v>41303.1</v>
      </c>
      <c r="U23" s="130">
        <f t="shared" si="11"/>
        <v>42041.85</v>
      </c>
      <c r="V23" s="131">
        <f t="shared" si="12"/>
        <v>738.75</v>
      </c>
      <c r="W23" s="172">
        <f t="shared" si="15"/>
        <v>1.0178860666632772</v>
      </c>
      <c r="X23" s="263">
        <f>S23-P23</f>
        <v>0.8721265239152987</v>
      </c>
      <c r="AA23" s="121"/>
    </row>
    <row r="24" spans="1:27" s="6" customFormat="1" ht="18">
      <c r="A24" s="8"/>
      <c r="B24" s="38" t="s">
        <v>76</v>
      </c>
      <c r="C24" s="94">
        <v>18010000</v>
      </c>
      <c r="D24" s="122">
        <f>D25+D32+D35</f>
        <v>46935</v>
      </c>
      <c r="E24" s="122">
        <f>E25+E32+E35</f>
        <v>17670</v>
      </c>
      <c r="F24" s="183">
        <f>F25+F32+F35</f>
        <v>17749.89</v>
      </c>
      <c r="G24" s="122">
        <f t="shared" si="9"/>
        <v>79.88999999999942</v>
      </c>
      <c r="H24" s="275">
        <f t="shared" si="14"/>
        <v>1.004521222410866</v>
      </c>
      <c r="I24" s="128">
        <f t="shared" si="1"/>
        <v>-29185.11</v>
      </c>
      <c r="J24" s="172">
        <f aca="true" t="shared" si="19" ref="J24:J41">F24/D24</f>
        <v>0.3781802492809204</v>
      </c>
      <c r="K24" s="128"/>
      <c r="L24" s="128"/>
      <c r="M24" s="128"/>
      <c r="N24" s="128">
        <v>207231.03</v>
      </c>
      <c r="O24" s="128">
        <f t="shared" si="16"/>
        <v>-160296.03</v>
      </c>
      <c r="P24" s="172">
        <f t="shared" si="17"/>
        <v>0.226486351971517</v>
      </c>
      <c r="Q24" s="128">
        <v>16520.28</v>
      </c>
      <c r="R24" s="131">
        <f t="shared" si="5"/>
        <v>1229.6100000000006</v>
      </c>
      <c r="S24" s="171">
        <f t="shared" si="18"/>
        <v>1.0744303365318264</v>
      </c>
      <c r="T24" s="127">
        <f t="shared" si="10"/>
        <v>17670</v>
      </c>
      <c r="U24" s="130">
        <f t="shared" si="11"/>
        <v>17749.89</v>
      </c>
      <c r="V24" s="131">
        <f t="shared" si="12"/>
        <v>79.88999999999942</v>
      </c>
      <c r="W24" s="172">
        <f t="shared" si="15"/>
        <v>1.004521222410866</v>
      </c>
      <c r="X24" s="263">
        <f aca="true" t="shared" si="20" ref="X24:X99">S24-P24</f>
        <v>0.8479439845603094</v>
      </c>
      <c r="AA24" s="121"/>
    </row>
    <row r="25" spans="1:25" s="6" customFormat="1" ht="18">
      <c r="A25" s="8"/>
      <c r="B25" s="44" t="s">
        <v>69</v>
      </c>
      <c r="C25" s="100"/>
      <c r="D25" s="203">
        <v>6178</v>
      </c>
      <c r="E25" s="268">
        <v>4460</v>
      </c>
      <c r="F25" s="164">
        <v>4615.66</v>
      </c>
      <c r="G25" s="203">
        <f t="shared" si="9"/>
        <v>155.65999999999985</v>
      </c>
      <c r="H25" s="278">
        <f t="shared" si="14"/>
        <v>1.0349013452914797</v>
      </c>
      <c r="I25" s="204">
        <f t="shared" si="1"/>
        <v>-1562.3400000000001</v>
      </c>
      <c r="J25" s="229">
        <f t="shared" si="19"/>
        <v>0.7471123340887018</v>
      </c>
      <c r="K25" s="204"/>
      <c r="L25" s="204"/>
      <c r="M25" s="204"/>
      <c r="N25" s="204">
        <v>25414.16</v>
      </c>
      <c r="O25" s="204">
        <f t="shared" si="16"/>
        <v>-19236.16</v>
      </c>
      <c r="P25" s="229">
        <f t="shared" si="17"/>
        <v>0.24309282699093734</v>
      </c>
      <c r="Q25" s="228">
        <v>3819.61</v>
      </c>
      <c r="R25" s="136">
        <f t="shared" si="5"/>
        <v>796.0499999999997</v>
      </c>
      <c r="S25" s="176">
        <f t="shared" si="18"/>
        <v>1.2084113299525343</v>
      </c>
      <c r="T25" s="127">
        <f t="shared" si="10"/>
        <v>4460</v>
      </c>
      <c r="U25" s="130">
        <f t="shared" si="11"/>
        <v>4615.66</v>
      </c>
      <c r="V25" s="136">
        <f t="shared" si="12"/>
        <v>155.65999999999985</v>
      </c>
      <c r="W25" s="229">
        <f t="shared" si="15"/>
        <v>1.0349013452914797</v>
      </c>
      <c r="X25" s="263">
        <f t="shared" si="20"/>
        <v>0.9653185029615969</v>
      </c>
      <c r="Y25" s="121"/>
    </row>
    <row r="26" spans="1:25" s="6" customFormat="1" ht="18" customHeight="1" hidden="1">
      <c r="A26" s="8"/>
      <c r="B26" s="160" t="s">
        <v>101</v>
      </c>
      <c r="C26" s="161"/>
      <c r="D26" s="162">
        <f>D28+D29</f>
        <v>182</v>
      </c>
      <c r="E26" s="162">
        <f>E28+E29</f>
        <v>140</v>
      </c>
      <c r="F26" s="162">
        <f>F28+F29</f>
        <v>148.58</v>
      </c>
      <c r="G26" s="183">
        <f t="shared" si="9"/>
        <v>8.580000000000013</v>
      </c>
      <c r="H26" s="279">
        <f t="shared" si="14"/>
        <v>1.0612857142857144</v>
      </c>
      <c r="I26" s="225">
        <f t="shared" si="1"/>
        <v>-33.41999999999999</v>
      </c>
      <c r="J26" s="242">
        <f t="shared" si="19"/>
        <v>0.8163736263736264</v>
      </c>
      <c r="K26" s="225"/>
      <c r="L26" s="225"/>
      <c r="M26" s="225"/>
      <c r="N26" s="225">
        <f>N28+N29</f>
        <v>1512.89</v>
      </c>
      <c r="O26" s="225">
        <f t="shared" si="16"/>
        <v>-1330.89</v>
      </c>
      <c r="P26" s="242">
        <f t="shared" si="17"/>
        <v>0.12029955912194541</v>
      </c>
      <c r="Q26" s="163">
        <f>Q28+Q29</f>
        <v>120.37</v>
      </c>
      <c r="R26" s="267">
        <f t="shared" si="5"/>
        <v>28.210000000000008</v>
      </c>
      <c r="S26" s="187">
        <f t="shared" si="18"/>
        <v>1.2343607211099112</v>
      </c>
      <c r="T26" s="193">
        <f t="shared" si="10"/>
        <v>140</v>
      </c>
      <c r="U26" s="193">
        <f t="shared" si="11"/>
        <v>148.58</v>
      </c>
      <c r="V26" s="225">
        <f t="shared" si="12"/>
        <v>8.580000000000013</v>
      </c>
      <c r="W26" s="242">
        <f aca="true" t="shared" si="21" ref="W26:W41">U26/T26*100</f>
        <v>106.12857142857143</v>
      </c>
      <c r="X26" s="263">
        <f t="shared" si="20"/>
        <v>1.114061161987966</v>
      </c>
      <c r="Y26" s="121"/>
    </row>
    <row r="27" spans="1:25" s="6" customFormat="1" ht="18" customHeight="1" hidden="1">
      <c r="A27" s="8"/>
      <c r="B27" s="160" t="s">
        <v>102</v>
      </c>
      <c r="C27" s="161"/>
      <c r="D27" s="162">
        <f>D30+D31</f>
        <v>5996</v>
      </c>
      <c r="E27" s="162">
        <f>E30+E31</f>
        <v>4320</v>
      </c>
      <c r="F27" s="162">
        <f>F30+F31</f>
        <v>4467.08</v>
      </c>
      <c r="G27" s="183">
        <f t="shared" si="9"/>
        <v>147.07999999999993</v>
      </c>
      <c r="H27" s="279">
        <f t="shared" si="14"/>
        <v>1.0340462962962962</v>
      </c>
      <c r="I27" s="225">
        <f t="shared" si="1"/>
        <v>-1528.92</v>
      </c>
      <c r="J27" s="242">
        <f t="shared" si="19"/>
        <v>0.7450100066711141</v>
      </c>
      <c r="K27" s="225"/>
      <c r="L27" s="225"/>
      <c r="M27" s="225"/>
      <c r="N27" s="225">
        <f>N30+N31</f>
        <v>23901.28</v>
      </c>
      <c r="O27" s="225">
        <f t="shared" si="16"/>
        <v>-17905.28</v>
      </c>
      <c r="P27" s="242">
        <f t="shared" si="17"/>
        <v>0.25086522562808355</v>
      </c>
      <c r="Q27" s="163">
        <f>Q30+Q31</f>
        <v>3699.25</v>
      </c>
      <c r="R27" s="267">
        <f t="shared" si="5"/>
        <v>767.8299999999999</v>
      </c>
      <c r="S27" s="187">
        <f t="shared" si="18"/>
        <v>1.2075636953436508</v>
      </c>
      <c r="T27" s="193">
        <f t="shared" si="10"/>
        <v>4320</v>
      </c>
      <c r="U27" s="193">
        <f t="shared" si="11"/>
        <v>4467.08</v>
      </c>
      <c r="V27" s="225">
        <f t="shared" si="12"/>
        <v>147.07999999999993</v>
      </c>
      <c r="W27" s="242">
        <f t="shared" si="21"/>
        <v>103.40462962962962</v>
      </c>
      <c r="X27" s="263">
        <f t="shared" si="20"/>
        <v>0.9566984697155673</v>
      </c>
      <c r="Y27" s="121"/>
    </row>
    <row r="28" spans="1:24" s="6" customFormat="1" ht="18" customHeight="1" hidden="1">
      <c r="A28" s="8"/>
      <c r="B28" s="272" t="s">
        <v>134</v>
      </c>
      <c r="C28" s="161">
        <v>18010100</v>
      </c>
      <c r="D28" s="285">
        <v>154</v>
      </c>
      <c r="E28" s="286">
        <v>126</v>
      </c>
      <c r="F28" s="273">
        <v>29.3</v>
      </c>
      <c r="G28" s="285">
        <f t="shared" si="9"/>
        <v>-96.7</v>
      </c>
      <c r="H28" s="287">
        <f t="shared" si="14"/>
        <v>0.23253968253968255</v>
      </c>
      <c r="I28" s="288">
        <f t="shared" si="1"/>
        <v>-124.7</v>
      </c>
      <c r="J28" s="289">
        <f t="shared" si="19"/>
        <v>0.19025974025974027</v>
      </c>
      <c r="K28" s="225"/>
      <c r="L28" s="225"/>
      <c r="M28" s="225"/>
      <c r="N28" s="288">
        <v>275.91</v>
      </c>
      <c r="O28" s="288">
        <f t="shared" si="16"/>
        <v>-121.91000000000003</v>
      </c>
      <c r="P28" s="289">
        <f t="shared" si="17"/>
        <v>0.5581530209126164</v>
      </c>
      <c r="Q28" s="288">
        <v>108.25</v>
      </c>
      <c r="R28" s="288">
        <f t="shared" si="5"/>
        <v>-78.95</v>
      </c>
      <c r="S28" s="289">
        <f t="shared" si="18"/>
        <v>0.2706697459584296</v>
      </c>
      <c r="T28" s="273">
        <f t="shared" si="10"/>
        <v>126</v>
      </c>
      <c r="U28" s="273">
        <f t="shared" si="11"/>
        <v>29.3</v>
      </c>
      <c r="V28" s="288">
        <f t="shared" si="12"/>
        <v>-96.7</v>
      </c>
      <c r="W28" s="289">
        <f t="shared" si="21"/>
        <v>23.253968253968253</v>
      </c>
      <c r="X28" s="263"/>
    </row>
    <row r="29" spans="1:24" s="6" customFormat="1" ht="18" customHeight="1" hidden="1">
      <c r="A29" s="8"/>
      <c r="B29" s="272" t="s">
        <v>132</v>
      </c>
      <c r="C29" s="161">
        <v>18010200</v>
      </c>
      <c r="D29" s="285">
        <v>28</v>
      </c>
      <c r="E29" s="286">
        <v>14</v>
      </c>
      <c r="F29" s="273">
        <v>119.28</v>
      </c>
      <c r="G29" s="285">
        <f t="shared" si="9"/>
        <v>105.28</v>
      </c>
      <c r="H29" s="287">
        <f t="shared" si="14"/>
        <v>8.52</v>
      </c>
      <c r="I29" s="288">
        <f t="shared" si="1"/>
        <v>91.28</v>
      </c>
      <c r="J29" s="289">
        <f t="shared" si="19"/>
        <v>4.26</v>
      </c>
      <c r="K29" s="225"/>
      <c r="L29" s="225"/>
      <c r="M29" s="225"/>
      <c r="N29" s="288">
        <v>1236.98</v>
      </c>
      <c r="O29" s="288">
        <f t="shared" si="16"/>
        <v>-1208.98</v>
      </c>
      <c r="P29" s="289">
        <f t="shared" si="17"/>
        <v>0.02263577422432052</v>
      </c>
      <c r="Q29" s="288">
        <v>12.12</v>
      </c>
      <c r="R29" s="288">
        <f t="shared" si="5"/>
        <v>107.16</v>
      </c>
      <c r="S29" s="289">
        <f t="shared" si="18"/>
        <v>9.841584158415841</v>
      </c>
      <c r="T29" s="273">
        <f t="shared" si="10"/>
        <v>14</v>
      </c>
      <c r="U29" s="273">
        <f t="shared" si="11"/>
        <v>119.28</v>
      </c>
      <c r="V29" s="288">
        <f t="shared" si="12"/>
        <v>105.28</v>
      </c>
      <c r="W29" s="289">
        <f t="shared" si="21"/>
        <v>852</v>
      </c>
      <c r="X29" s="263"/>
    </row>
    <row r="30" spans="1:24" s="6" customFormat="1" ht="18" customHeight="1" hidden="1">
      <c r="A30" s="8"/>
      <c r="B30" s="272" t="s">
        <v>133</v>
      </c>
      <c r="C30" s="161">
        <v>18010300</v>
      </c>
      <c r="D30" s="285">
        <v>76</v>
      </c>
      <c r="E30" s="286">
        <v>20</v>
      </c>
      <c r="F30" s="273">
        <v>278.73</v>
      </c>
      <c r="G30" s="285">
        <f t="shared" si="9"/>
        <v>258.73</v>
      </c>
      <c r="H30" s="287">
        <f t="shared" si="14"/>
        <v>13.9365</v>
      </c>
      <c r="I30" s="288">
        <f t="shared" si="1"/>
        <v>202.73000000000002</v>
      </c>
      <c r="J30" s="289">
        <f t="shared" si="19"/>
        <v>3.6675000000000004</v>
      </c>
      <c r="K30" s="225"/>
      <c r="L30" s="225"/>
      <c r="M30" s="225"/>
      <c r="N30" s="288">
        <v>2220.25</v>
      </c>
      <c r="O30" s="288">
        <f t="shared" si="16"/>
        <v>-2144.25</v>
      </c>
      <c r="P30" s="289">
        <f t="shared" si="17"/>
        <v>0.03423037946177232</v>
      </c>
      <c r="Q30" s="288">
        <v>17.34</v>
      </c>
      <c r="R30" s="288">
        <f t="shared" si="5"/>
        <v>261.39000000000004</v>
      </c>
      <c r="S30" s="289">
        <f t="shared" si="18"/>
        <v>16.074394463667822</v>
      </c>
      <c r="T30" s="273">
        <f t="shared" si="10"/>
        <v>20</v>
      </c>
      <c r="U30" s="273">
        <f t="shared" si="11"/>
        <v>278.73</v>
      </c>
      <c r="V30" s="288">
        <f t="shared" si="12"/>
        <v>258.73</v>
      </c>
      <c r="W30" s="289">
        <f t="shared" si="21"/>
        <v>1393.65</v>
      </c>
      <c r="X30" s="263"/>
    </row>
    <row r="31" spans="1:24" s="6" customFormat="1" ht="18" customHeight="1" hidden="1">
      <c r="A31" s="8"/>
      <c r="B31" s="272" t="s">
        <v>135</v>
      </c>
      <c r="C31" s="161">
        <v>18010400</v>
      </c>
      <c r="D31" s="285">
        <v>5920</v>
      </c>
      <c r="E31" s="286">
        <v>4300</v>
      </c>
      <c r="F31" s="273">
        <v>4188.35</v>
      </c>
      <c r="G31" s="285">
        <f t="shared" si="9"/>
        <v>-111.64999999999964</v>
      </c>
      <c r="H31" s="287">
        <f t="shared" si="14"/>
        <v>0.9740348837209303</v>
      </c>
      <c r="I31" s="288">
        <f t="shared" si="1"/>
        <v>-1731.6499999999996</v>
      </c>
      <c r="J31" s="289">
        <f t="shared" si="19"/>
        <v>0.7074915540540541</v>
      </c>
      <c r="K31" s="225"/>
      <c r="L31" s="225"/>
      <c r="M31" s="225"/>
      <c r="N31" s="288">
        <v>21681.03</v>
      </c>
      <c r="O31" s="288">
        <f t="shared" si="16"/>
        <v>-15761.029999999999</v>
      </c>
      <c r="P31" s="289">
        <f t="shared" si="17"/>
        <v>0.2730497582448804</v>
      </c>
      <c r="Q31" s="288">
        <v>3681.91</v>
      </c>
      <c r="R31" s="288">
        <f t="shared" si="5"/>
        <v>506.4400000000005</v>
      </c>
      <c r="S31" s="289">
        <f t="shared" si="18"/>
        <v>1.1375481747245317</v>
      </c>
      <c r="T31" s="273">
        <f t="shared" si="10"/>
        <v>4300</v>
      </c>
      <c r="U31" s="273">
        <f t="shared" si="11"/>
        <v>4188.35</v>
      </c>
      <c r="V31" s="288"/>
      <c r="W31" s="289">
        <f t="shared" si="21"/>
        <v>97.40348837209302</v>
      </c>
      <c r="X31" s="263"/>
    </row>
    <row r="32" spans="1:24" s="6" customFormat="1" ht="18">
      <c r="A32" s="8"/>
      <c r="B32" s="44" t="s">
        <v>70</v>
      </c>
      <c r="C32" s="100"/>
      <c r="D32" s="139">
        <v>87</v>
      </c>
      <c r="E32" s="269">
        <v>30</v>
      </c>
      <c r="F32" s="140">
        <v>157.03</v>
      </c>
      <c r="G32" s="203">
        <f t="shared" si="9"/>
        <v>127.03</v>
      </c>
      <c r="H32" s="278">
        <f t="shared" si="14"/>
        <v>5.234333333333334</v>
      </c>
      <c r="I32" s="204">
        <f t="shared" si="1"/>
        <v>70.03</v>
      </c>
      <c r="J32" s="229">
        <f t="shared" si="19"/>
        <v>1.8049425287356322</v>
      </c>
      <c r="K32" s="204"/>
      <c r="L32" s="204"/>
      <c r="M32" s="204"/>
      <c r="N32" s="204">
        <v>645.26</v>
      </c>
      <c r="O32" s="204">
        <f t="shared" si="16"/>
        <v>-558.26</v>
      </c>
      <c r="P32" s="229">
        <f t="shared" si="17"/>
        <v>0.13482937110622076</v>
      </c>
      <c r="Q32" s="141">
        <v>52.08</v>
      </c>
      <c r="R32" s="141">
        <f t="shared" si="5"/>
        <v>104.95</v>
      </c>
      <c r="S32" s="174">
        <f t="shared" si="18"/>
        <v>3.0151689708141323</v>
      </c>
      <c r="T32" s="159">
        <f t="shared" si="10"/>
        <v>30</v>
      </c>
      <c r="U32" s="144">
        <f t="shared" si="11"/>
        <v>157.03</v>
      </c>
      <c r="V32" s="136">
        <f t="shared" si="12"/>
        <v>127.03</v>
      </c>
      <c r="W32" s="229">
        <f>U32/T32</f>
        <v>5.234333333333334</v>
      </c>
      <c r="X32" s="264">
        <f t="shared" si="20"/>
        <v>2.8803395997079115</v>
      </c>
    </row>
    <row r="33" spans="1:24" s="6" customFormat="1" ht="15" hidden="1">
      <c r="A33" s="8"/>
      <c r="B33" s="44" t="s">
        <v>136</v>
      </c>
      <c r="C33" s="100">
        <v>18011000</v>
      </c>
      <c r="D33" s="86">
        <v>25</v>
      </c>
      <c r="E33" s="290">
        <v>0</v>
      </c>
      <c r="F33" s="114">
        <v>27.85</v>
      </c>
      <c r="G33" s="86">
        <f t="shared" si="9"/>
        <v>27.85</v>
      </c>
      <c r="H33" s="276" t="e">
        <f t="shared" si="14"/>
        <v>#DIV/0!</v>
      </c>
      <c r="I33" s="87">
        <f t="shared" si="1"/>
        <v>2.8500000000000014</v>
      </c>
      <c r="J33" s="90">
        <f t="shared" si="19"/>
        <v>1.114</v>
      </c>
      <c r="K33" s="87"/>
      <c r="L33" s="87"/>
      <c r="M33" s="87"/>
      <c r="N33" s="87">
        <v>241.36</v>
      </c>
      <c r="O33" s="87">
        <f t="shared" si="16"/>
        <v>-216.36</v>
      </c>
      <c r="P33" s="90">
        <f t="shared" si="17"/>
        <v>0.10357971494862446</v>
      </c>
      <c r="Q33" s="87">
        <v>0</v>
      </c>
      <c r="R33" s="87">
        <f t="shared" si="5"/>
        <v>27.85</v>
      </c>
      <c r="S33" s="90" t="e">
        <f t="shared" si="18"/>
        <v>#DIV/0!</v>
      </c>
      <c r="T33" s="88">
        <f t="shared" si="10"/>
        <v>0</v>
      </c>
      <c r="U33" s="118">
        <f t="shared" si="11"/>
        <v>27.85</v>
      </c>
      <c r="V33" s="89">
        <f t="shared" si="12"/>
        <v>27.85</v>
      </c>
      <c r="W33" s="90" t="e">
        <f>U33/T33</f>
        <v>#DIV/0!</v>
      </c>
      <c r="X33" s="264"/>
    </row>
    <row r="34" spans="1:24" s="6" customFormat="1" ht="15" hidden="1">
      <c r="A34" s="8"/>
      <c r="B34" s="44" t="s">
        <v>137</v>
      </c>
      <c r="C34" s="100">
        <v>18011100</v>
      </c>
      <c r="D34" s="86">
        <v>62</v>
      </c>
      <c r="E34" s="290">
        <v>30</v>
      </c>
      <c r="F34" s="114">
        <v>129.18</v>
      </c>
      <c r="G34" s="86">
        <f t="shared" si="9"/>
        <v>99.18</v>
      </c>
      <c r="H34" s="276">
        <f t="shared" si="14"/>
        <v>4.306</v>
      </c>
      <c r="I34" s="87">
        <f t="shared" si="1"/>
        <v>67.18</v>
      </c>
      <c r="J34" s="90">
        <f t="shared" si="19"/>
        <v>2.083548387096774</v>
      </c>
      <c r="K34" s="87"/>
      <c r="L34" s="87"/>
      <c r="M34" s="87"/>
      <c r="N34" s="87">
        <v>403.91</v>
      </c>
      <c r="O34" s="87">
        <f t="shared" si="16"/>
        <v>-341.91</v>
      </c>
      <c r="P34" s="90">
        <f t="shared" si="17"/>
        <v>0.1534995419771731</v>
      </c>
      <c r="Q34" s="87">
        <v>52.08</v>
      </c>
      <c r="R34" s="87">
        <f t="shared" si="5"/>
        <v>77.10000000000001</v>
      </c>
      <c r="S34" s="90">
        <f t="shared" si="18"/>
        <v>2.480414746543779</v>
      </c>
      <c r="T34" s="88">
        <f t="shared" si="10"/>
        <v>30</v>
      </c>
      <c r="U34" s="118">
        <f t="shared" si="11"/>
        <v>129.18</v>
      </c>
      <c r="V34" s="89"/>
      <c r="W34" s="90">
        <f>U34/T34</f>
        <v>4.306</v>
      </c>
      <c r="X34" s="264"/>
    </row>
    <row r="35" spans="1:24" s="6" customFormat="1" ht="18">
      <c r="A35" s="8"/>
      <c r="B35" s="44" t="s">
        <v>71</v>
      </c>
      <c r="C35" s="100"/>
      <c r="D35" s="139">
        <v>40670</v>
      </c>
      <c r="E35" s="269">
        <v>13180</v>
      </c>
      <c r="F35" s="140">
        <v>12977.2</v>
      </c>
      <c r="G35" s="122">
        <f t="shared" si="9"/>
        <v>-202.79999999999927</v>
      </c>
      <c r="H35" s="278">
        <f t="shared" si="14"/>
        <v>0.9846130500758726</v>
      </c>
      <c r="I35" s="204">
        <f t="shared" si="1"/>
        <v>-27692.8</v>
      </c>
      <c r="J35" s="229">
        <f t="shared" si="19"/>
        <v>0.3190853208753381</v>
      </c>
      <c r="K35" s="204"/>
      <c r="L35" s="204"/>
      <c r="M35" s="204"/>
      <c r="N35" s="204">
        <v>181171.61</v>
      </c>
      <c r="O35" s="204">
        <f t="shared" si="16"/>
        <v>-140501.61</v>
      </c>
      <c r="P35" s="229">
        <f t="shared" si="17"/>
        <v>0.22448329514762275</v>
      </c>
      <c r="Q35" s="142">
        <v>12648.59</v>
      </c>
      <c r="R35" s="142">
        <f t="shared" si="5"/>
        <v>328.6100000000006</v>
      </c>
      <c r="S35" s="173">
        <f t="shared" si="18"/>
        <v>1.0259799708900361</v>
      </c>
      <c r="T35" s="159">
        <f t="shared" si="10"/>
        <v>13180</v>
      </c>
      <c r="U35" s="144">
        <f t="shared" si="11"/>
        <v>12977.2</v>
      </c>
      <c r="V35" s="136">
        <f t="shared" si="12"/>
        <v>-202.79999999999927</v>
      </c>
      <c r="W35" s="229">
        <f>U35/T35</f>
        <v>0.9846130500758726</v>
      </c>
      <c r="X35" s="264">
        <f t="shared" si="20"/>
        <v>0.8014966757424133</v>
      </c>
    </row>
    <row r="36" spans="1:24" s="6" customFormat="1" ht="18" customHeight="1" hidden="1">
      <c r="A36" s="8"/>
      <c r="B36" s="160" t="s">
        <v>103</v>
      </c>
      <c r="C36" s="161"/>
      <c r="D36" s="162">
        <f aca="true" t="shared" si="22" ref="D36:F37">D38+D40</f>
        <v>12570</v>
      </c>
      <c r="E36" s="162">
        <f t="shared" si="22"/>
        <v>4080</v>
      </c>
      <c r="F36" s="162">
        <f t="shared" si="22"/>
        <v>3773.1600000000003</v>
      </c>
      <c r="G36" s="183">
        <f t="shared" si="9"/>
        <v>-306.8399999999997</v>
      </c>
      <c r="H36" s="279">
        <f t="shared" si="14"/>
        <v>0.9247941176470589</v>
      </c>
      <c r="I36" s="225">
        <f t="shared" si="1"/>
        <v>-8796.84</v>
      </c>
      <c r="J36" s="242">
        <f t="shared" si="19"/>
        <v>0.30017183770883055</v>
      </c>
      <c r="K36" s="225"/>
      <c r="L36" s="225"/>
      <c r="M36" s="225"/>
      <c r="N36" s="225">
        <f>N38+N40</f>
        <v>58608.68</v>
      </c>
      <c r="O36" s="225">
        <f t="shared" si="16"/>
        <v>-46038.68</v>
      </c>
      <c r="P36" s="242">
        <f t="shared" si="17"/>
        <v>0.21447335104629553</v>
      </c>
      <c r="Q36" s="163">
        <f>Q38+Q40</f>
        <v>3799.8500000000004</v>
      </c>
      <c r="R36" s="163">
        <f t="shared" si="5"/>
        <v>-26.690000000000055</v>
      </c>
      <c r="S36" s="187">
        <f t="shared" si="18"/>
        <v>0.9929760385278366</v>
      </c>
      <c r="T36" s="193">
        <f t="shared" si="10"/>
        <v>4080</v>
      </c>
      <c r="U36" s="193">
        <f t="shared" si="11"/>
        <v>3773.1600000000003</v>
      </c>
      <c r="V36" s="225">
        <f t="shared" si="12"/>
        <v>-306.8399999999997</v>
      </c>
      <c r="W36" s="242">
        <f t="shared" si="21"/>
        <v>92.47941176470589</v>
      </c>
      <c r="X36" s="263">
        <f t="shared" si="20"/>
        <v>0.7785026874815411</v>
      </c>
    </row>
    <row r="37" spans="1:24" s="6" customFormat="1" ht="18" customHeight="1" hidden="1">
      <c r="A37" s="8"/>
      <c r="B37" s="160" t="s">
        <v>104</v>
      </c>
      <c r="C37" s="161"/>
      <c r="D37" s="162">
        <f t="shared" si="22"/>
        <v>28100</v>
      </c>
      <c r="E37" s="162">
        <f t="shared" si="22"/>
        <v>9100</v>
      </c>
      <c r="F37" s="162">
        <f t="shared" si="22"/>
        <v>9204.04</v>
      </c>
      <c r="G37" s="183">
        <f t="shared" si="9"/>
        <v>104.04000000000087</v>
      </c>
      <c r="H37" s="279">
        <f t="shared" si="14"/>
        <v>1.0114329670329671</v>
      </c>
      <c r="I37" s="225">
        <f t="shared" si="1"/>
        <v>-18895.96</v>
      </c>
      <c r="J37" s="242">
        <f t="shared" si="19"/>
        <v>0.32754590747330964</v>
      </c>
      <c r="K37" s="225"/>
      <c r="L37" s="225"/>
      <c r="M37" s="225"/>
      <c r="N37" s="225">
        <f>N39+N41</f>
        <v>122562.93000000001</v>
      </c>
      <c r="O37" s="225">
        <f t="shared" si="16"/>
        <v>-94462.93000000001</v>
      </c>
      <c r="P37" s="242">
        <f t="shared" si="17"/>
        <v>0.22926997584016634</v>
      </c>
      <c r="Q37" s="163">
        <f>Q39+Q41</f>
        <v>8848.73</v>
      </c>
      <c r="R37" s="163">
        <f t="shared" si="5"/>
        <v>355.3100000000013</v>
      </c>
      <c r="S37" s="187">
        <f t="shared" si="18"/>
        <v>1.040153784780415</v>
      </c>
      <c r="T37" s="193">
        <f t="shared" si="10"/>
        <v>9100</v>
      </c>
      <c r="U37" s="193">
        <f t="shared" si="11"/>
        <v>9204.04</v>
      </c>
      <c r="V37" s="225">
        <f t="shared" si="12"/>
        <v>104.04000000000087</v>
      </c>
      <c r="W37" s="242">
        <f t="shared" si="21"/>
        <v>101.14329670329671</v>
      </c>
      <c r="X37" s="263">
        <f t="shared" si="20"/>
        <v>0.8108838089402486</v>
      </c>
    </row>
    <row r="38" spans="1:24" s="6" customFormat="1" ht="18" customHeight="1" hidden="1">
      <c r="A38" s="8"/>
      <c r="B38" s="274" t="s">
        <v>138</v>
      </c>
      <c r="C38" s="161">
        <v>18010500</v>
      </c>
      <c r="D38" s="285">
        <v>12300</v>
      </c>
      <c r="E38" s="285">
        <v>4000</v>
      </c>
      <c r="F38" s="273">
        <v>3693.9</v>
      </c>
      <c r="G38" s="285">
        <f t="shared" si="9"/>
        <v>-306.0999999999999</v>
      </c>
      <c r="H38" s="287">
        <f t="shared" si="14"/>
        <v>0.923475</v>
      </c>
      <c r="I38" s="288">
        <f t="shared" si="1"/>
        <v>-8606.1</v>
      </c>
      <c r="J38" s="289">
        <f t="shared" si="19"/>
        <v>0.3003170731707317</v>
      </c>
      <c r="K38" s="225"/>
      <c r="L38" s="225"/>
      <c r="M38" s="225"/>
      <c r="N38" s="288">
        <v>55246.24</v>
      </c>
      <c r="O38" s="288">
        <f t="shared" si="16"/>
        <v>-42946.24</v>
      </c>
      <c r="P38" s="289">
        <f t="shared" si="17"/>
        <v>0.22263958597001354</v>
      </c>
      <c r="Q38" s="288">
        <v>3720.59</v>
      </c>
      <c r="R38" s="288">
        <f t="shared" si="5"/>
        <v>-26.690000000000055</v>
      </c>
      <c r="S38" s="289">
        <f t="shared" si="18"/>
        <v>0.9928264065645502</v>
      </c>
      <c r="T38" s="273">
        <f t="shared" si="10"/>
        <v>4000</v>
      </c>
      <c r="U38" s="273">
        <f t="shared" si="11"/>
        <v>3693.9</v>
      </c>
      <c r="V38" s="288">
        <f t="shared" si="12"/>
        <v>-306.0999999999999</v>
      </c>
      <c r="W38" s="289">
        <f t="shared" si="21"/>
        <v>92.34750000000001</v>
      </c>
      <c r="X38" s="263"/>
    </row>
    <row r="39" spans="1:24" s="6" customFormat="1" ht="18" customHeight="1" hidden="1">
      <c r="A39" s="8"/>
      <c r="B39" s="274" t="s">
        <v>139</v>
      </c>
      <c r="C39" s="161">
        <v>18010600</v>
      </c>
      <c r="D39" s="285">
        <v>23150</v>
      </c>
      <c r="E39" s="285">
        <v>7500</v>
      </c>
      <c r="F39" s="273">
        <v>7743.68</v>
      </c>
      <c r="G39" s="285">
        <f t="shared" si="9"/>
        <v>243.6800000000003</v>
      </c>
      <c r="H39" s="287">
        <f t="shared" si="14"/>
        <v>1.0324906666666667</v>
      </c>
      <c r="I39" s="288">
        <f t="shared" si="1"/>
        <v>-15406.32</v>
      </c>
      <c r="J39" s="289">
        <f t="shared" si="19"/>
        <v>0.3345002159827214</v>
      </c>
      <c r="K39" s="225"/>
      <c r="L39" s="225"/>
      <c r="M39" s="225"/>
      <c r="N39" s="288">
        <v>102196.35</v>
      </c>
      <c r="O39" s="288">
        <f t="shared" si="16"/>
        <v>-79046.35</v>
      </c>
      <c r="P39" s="289">
        <f t="shared" si="17"/>
        <v>0.22652472421960274</v>
      </c>
      <c r="Q39" s="288">
        <v>7428.28</v>
      </c>
      <c r="R39" s="288">
        <f t="shared" si="5"/>
        <v>315.40000000000055</v>
      </c>
      <c r="S39" s="289">
        <f t="shared" si="18"/>
        <v>1.0424593580209687</v>
      </c>
      <c r="T39" s="273">
        <f t="shared" si="10"/>
        <v>7500</v>
      </c>
      <c r="U39" s="273">
        <f t="shared" si="11"/>
        <v>7743.68</v>
      </c>
      <c r="V39" s="288">
        <f t="shared" si="12"/>
        <v>243.6800000000003</v>
      </c>
      <c r="W39" s="289">
        <f t="shared" si="21"/>
        <v>103.24906666666666</v>
      </c>
      <c r="X39" s="263"/>
    </row>
    <row r="40" spans="1:24" s="6" customFormat="1" ht="18" customHeight="1" hidden="1">
      <c r="A40" s="8"/>
      <c r="B40" s="274" t="s">
        <v>140</v>
      </c>
      <c r="C40" s="161">
        <v>18010700</v>
      </c>
      <c r="D40" s="285">
        <v>270</v>
      </c>
      <c r="E40" s="285">
        <v>80</v>
      </c>
      <c r="F40" s="273">
        <v>79.26</v>
      </c>
      <c r="G40" s="285">
        <f t="shared" si="9"/>
        <v>-0.7399999999999949</v>
      </c>
      <c r="H40" s="287">
        <f t="shared" si="14"/>
        <v>0.99075</v>
      </c>
      <c r="I40" s="288">
        <f t="shared" si="1"/>
        <v>-190.74</v>
      </c>
      <c r="J40" s="289">
        <f t="shared" si="19"/>
        <v>0.29355555555555557</v>
      </c>
      <c r="K40" s="225"/>
      <c r="L40" s="225"/>
      <c r="M40" s="225"/>
      <c r="N40" s="288">
        <v>3362.44</v>
      </c>
      <c r="O40" s="288">
        <f t="shared" si="16"/>
        <v>-3092.44</v>
      </c>
      <c r="P40" s="289">
        <f t="shared" si="17"/>
        <v>0.08029883061110384</v>
      </c>
      <c r="Q40" s="288">
        <v>79.26</v>
      </c>
      <c r="R40" s="288">
        <f t="shared" si="5"/>
        <v>0</v>
      </c>
      <c r="S40" s="289">
        <f t="shared" si="18"/>
        <v>1</v>
      </c>
      <c r="T40" s="273">
        <f t="shared" si="10"/>
        <v>80</v>
      </c>
      <c r="U40" s="273">
        <f t="shared" si="11"/>
        <v>79.26</v>
      </c>
      <c r="V40" s="288">
        <f t="shared" si="12"/>
        <v>-0.7399999999999949</v>
      </c>
      <c r="W40" s="289">
        <f t="shared" si="21"/>
        <v>99.075</v>
      </c>
      <c r="X40" s="263"/>
    </row>
    <row r="41" spans="1:24" s="6" customFormat="1" ht="18" customHeight="1" hidden="1">
      <c r="A41" s="8"/>
      <c r="B41" s="274" t="s">
        <v>141</v>
      </c>
      <c r="C41" s="161">
        <v>18010900</v>
      </c>
      <c r="D41" s="285">
        <v>4950</v>
      </c>
      <c r="E41" s="285">
        <v>1600</v>
      </c>
      <c r="F41" s="273">
        <v>1460.36</v>
      </c>
      <c r="G41" s="285">
        <f t="shared" si="9"/>
        <v>-139.6400000000001</v>
      </c>
      <c r="H41" s="287">
        <f t="shared" si="14"/>
        <v>0.9127249999999999</v>
      </c>
      <c r="I41" s="288">
        <f t="shared" si="1"/>
        <v>-3489.6400000000003</v>
      </c>
      <c r="J41" s="289">
        <f t="shared" si="19"/>
        <v>0.2950222222222222</v>
      </c>
      <c r="K41" s="225"/>
      <c r="L41" s="225"/>
      <c r="M41" s="225"/>
      <c r="N41" s="288">
        <v>20366.58</v>
      </c>
      <c r="O41" s="288">
        <f t="shared" si="16"/>
        <v>-15416.580000000002</v>
      </c>
      <c r="P41" s="289">
        <f t="shared" si="17"/>
        <v>0.24304522408769658</v>
      </c>
      <c r="Q41" s="288">
        <v>1420.45</v>
      </c>
      <c r="R41" s="288">
        <f t="shared" si="5"/>
        <v>39.909999999999854</v>
      </c>
      <c r="S41" s="289">
        <f t="shared" si="18"/>
        <v>1.0280967299095356</v>
      </c>
      <c r="T41" s="273">
        <f t="shared" si="10"/>
        <v>1600</v>
      </c>
      <c r="U41" s="273">
        <f t="shared" si="11"/>
        <v>1460.36</v>
      </c>
      <c r="V41" s="288">
        <f t="shared" si="12"/>
        <v>-139.6400000000001</v>
      </c>
      <c r="W41" s="289">
        <f t="shared" si="21"/>
        <v>91.2725</v>
      </c>
      <c r="X41" s="263"/>
    </row>
    <row r="42" spans="1:24" s="6" customFormat="1" ht="18">
      <c r="A42" s="8"/>
      <c r="B42" s="184" t="s">
        <v>106</v>
      </c>
      <c r="C42" s="182">
        <v>18020000</v>
      </c>
      <c r="D42" s="132">
        <v>0</v>
      </c>
      <c r="E42" s="132">
        <f>D42</f>
        <v>0</v>
      </c>
      <c r="F42" s="162">
        <v>0</v>
      </c>
      <c r="G42" s="122">
        <f t="shared" si="9"/>
        <v>0</v>
      </c>
      <c r="H42" s="275"/>
      <c r="I42" s="128">
        <f t="shared" si="1"/>
        <v>0</v>
      </c>
      <c r="J42" s="128"/>
      <c r="K42" s="128"/>
      <c r="L42" s="128"/>
      <c r="M42" s="128"/>
      <c r="N42" s="128">
        <v>0.2</v>
      </c>
      <c r="O42" s="128">
        <f t="shared" si="16"/>
        <v>-0.2</v>
      </c>
      <c r="P42" s="172">
        <f t="shared" si="17"/>
        <v>0</v>
      </c>
      <c r="Q42" s="137">
        <v>0.2</v>
      </c>
      <c r="R42" s="128">
        <f t="shared" si="5"/>
        <v>-0.2</v>
      </c>
      <c r="S42" s="172"/>
      <c r="T42" s="127">
        <f t="shared" si="10"/>
        <v>0</v>
      </c>
      <c r="U42" s="130">
        <f t="shared" si="11"/>
        <v>0</v>
      </c>
      <c r="V42" s="131">
        <f t="shared" si="12"/>
        <v>0</v>
      </c>
      <c r="W42" s="172"/>
      <c r="X42" s="263">
        <f t="shared" si="20"/>
        <v>0</v>
      </c>
    </row>
    <row r="43" spans="1:24" s="6" customFormat="1" ht="18">
      <c r="A43" s="8"/>
      <c r="B43" s="38" t="s">
        <v>77</v>
      </c>
      <c r="C43" s="94">
        <v>18030000</v>
      </c>
      <c r="D43" s="122">
        <v>38.3</v>
      </c>
      <c r="E43" s="132">
        <v>13.1</v>
      </c>
      <c r="F43" s="126">
        <v>10.43</v>
      </c>
      <c r="G43" s="122">
        <f t="shared" si="9"/>
        <v>-2.67</v>
      </c>
      <c r="H43" s="275">
        <f>F43/E43</f>
        <v>0.7961832061068702</v>
      </c>
      <c r="I43" s="128">
        <f t="shared" si="1"/>
        <v>-27.869999999999997</v>
      </c>
      <c r="J43" s="172">
        <f>F43/D43</f>
        <v>0.2723237597911227</v>
      </c>
      <c r="K43" s="128"/>
      <c r="L43" s="128"/>
      <c r="M43" s="128"/>
      <c r="N43" s="128">
        <v>156.82</v>
      </c>
      <c r="O43" s="128">
        <f t="shared" si="16"/>
        <v>-118.52</v>
      </c>
      <c r="P43" s="172">
        <f t="shared" si="17"/>
        <v>0.24422905241678355</v>
      </c>
      <c r="Q43" s="137">
        <v>13.06</v>
      </c>
      <c r="R43" s="128">
        <f t="shared" si="5"/>
        <v>-2.630000000000001</v>
      </c>
      <c r="S43" s="172">
        <f aca="true" t="shared" si="23" ref="S43:S51">F43/Q43</f>
        <v>0.7986217457886676</v>
      </c>
      <c r="T43" s="127">
        <f t="shared" si="10"/>
        <v>13.1</v>
      </c>
      <c r="U43" s="130">
        <f t="shared" si="11"/>
        <v>10.43</v>
      </c>
      <c r="V43" s="131">
        <f t="shared" si="12"/>
        <v>-2.67</v>
      </c>
      <c r="W43" s="172">
        <f>U43/T43</f>
        <v>0.7961832061068702</v>
      </c>
      <c r="X43" s="263">
        <f t="shared" si="20"/>
        <v>0.5543926933718841</v>
      </c>
    </row>
    <row r="44" spans="1:24" s="6" customFormat="1" ht="15" hidden="1">
      <c r="A44" s="8"/>
      <c r="B44" s="44" t="s">
        <v>142</v>
      </c>
      <c r="C44" s="85">
        <v>18031000</v>
      </c>
      <c r="D44" s="86">
        <v>22.9</v>
      </c>
      <c r="E44" s="86">
        <v>5.5</v>
      </c>
      <c r="F44" s="114">
        <v>9.9</v>
      </c>
      <c r="G44" s="86">
        <f t="shared" si="9"/>
        <v>4.4</v>
      </c>
      <c r="H44" s="276">
        <f>F44/E44</f>
        <v>1.8</v>
      </c>
      <c r="I44" s="87">
        <f t="shared" si="1"/>
        <v>-12.999999999999998</v>
      </c>
      <c r="J44" s="90">
        <f>F44/D44</f>
        <v>0.4323144104803494</v>
      </c>
      <c r="K44" s="87"/>
      <c r="L44" s="87"/>
      <c r="M44" s="87"/>
      <c r="N44" s="87">
        <v>95.14</v>
      </c>
      <c r="O44" s="87">
        <f t="shared" si="16"/>
        <v>-72.24000000000001</v>
      </c>
      <c r="P44" s="90">
        <f t="shared" si="17"/>
        <v>0.2406979188564221</v>
      </c>
      <c r="Q44" s="87">
        <v>5.51</v>
      </c>
      <c r="R44" s="87">
        <f t="shared" si="5"/>
        <v>4.390000000000001</v>
      </c>
      <c r="S44" s="90">
        <f t="shared" si="23"/>
        <v>1.7967332123411979</v>
      </c>
      <c r="T44" s="88">
        <f t="shared" si="10"/>
        <v>5.5</v>
      </c>
      <c r="U44" s="118">
        <f t="shared" si="11"/>
        <v>9.9</v>
      </c>
      <c r="V44" s="89">
        <f t="shared" si="12"/>
        <v>4.4</v>
      </c>
      <c r="W44" s="90">
        <f>U44/T44</f>
        <v>1.8</v>
      </c>
      <c r="X44" s="263"/>
    </row>
    <row r="45" spans="1:24" s="6" customFormat="1" ht="15" hidden="1">
      <c r="A45" s="8"/>
      <c r="B45" s="44" t="s">
        <v>143</v>
      </c>
      <c r="C45" s="85">
        <v>18031100</v>
      </c>
      <c r="D45" s="86">
        <v>15.4</v>
      </c>
      <c r="E45" s="86">
        <v>7.6</v>
      </c>
      <c r="F45" s="114">
        <v>0.53</v>
      </c>
      <c r="G45" s="86">
        <f t="shared" si="9"/>
        <v>-7.069999999999999</v>
      </c>
      <c r="H45" s="276">
        <f>F45/E45</f>
        <v>0.06973684210526317</v>
      </c>
      <c r="I45" s="87">
        <f t="shared" si="1"/>
        <v>-14.870000000000001</v>
      </c>
      <c r="J45" s="90">
        <f>F45/D45</f>
        <v>0.03441558441558441</v>
      </c>
      <c r="K45" s="87"/>
      <c r="L45" s="87"/>
      <c r="M45" s="87"/>
      <c r="N45" s="87">
        <v>61.68</v>
      </c>
      <c r="O45" s="87">
        <f t="shared" si="16"/>
        <v>-46.28</v>
      </c>
      <c r="P45" s="90">
        <f t="shared" si="17"/>
        <v>0.2496757457846952</v>
      </c>
      <c r="Q45" s="87">
        <v>7.56</v>
      </c>
      <c r="R45" s="87">
        <f t="shared" si="5"/>
        <v>-7.029999999999999</v>
      </c>
      <c r="S45" s="90">
        <f t="shared" si="23"/>
        <v>0.07010582010582012</v>
      </c>
      <c r="T45" s="88">
        <f t="shared" si="10"/>
        <v>7.6</v>
      </c>
      <c r="U45" s="118">
        <f t="shared" si="11"/>
        <v>0.53</v>
      </c>
      <c r="V45" s="89">
        <f t="shared" si="12"/>
        <v>-7.069999999999999</v>
      </c>
      <c r="W45" s="90">
        <f>U45/T45</f>
        <v>0.06973684210526317</v>
      </c>
      <c r="X45" s="263"/>
    </row>
    <row r="46" spans="1:24" s="6" customFormat="1" ht="30.75">
      <c r="A46" s="8"/>
      <c r="B46" s="184" t="s">
        <v>78</v>
      </c>
      <c r="C46" s="94">
        <v>18040000</v>
      </c>
      <c r="D46" s="122"/>
      <c r="E46" s="122"/>
      <c r="F46" s="126">
        <v>0.09</v>
      </c>
      <c r="G46" s="122">
        <f t="shared" si="9"/>
        <v>0.09</v>
      </c>
      <c r="H46" s="275"/>
      <c r="I46" s="128">
        <f t="shared" si="1"/>
        <v>0.09</v>
      </c>
      <c r="J46" s="172"/>
      <c r="K46" s="128"/>
      <c r="L46" s="128"/>
      <c r="M46" s="128"/>
      <c r="N46" s="128">
        <v>-50.78</v>
      </c>
      <c r="O46" s="128">
        <f t="shared" si="16"/>
        <v>50.78</v>
      </c>
      <c r="P46" s="172">
        <f t="shared" si="17"/>
        <v>0</v>
      </c>
      <c r="Q46" s="128">
        <v>-2.93</v>
      </c>
      <c r="R46" s="128">
        <f t="shared" si="5"/>
        <v>3.02</v>
      </c>
      <c r="S46" s="172">
        <f t="shared" si="23"/>
        <v>-0.03071672354948805</v>
      </c>
      <c r="T46" s="127">
        <f t="shared" si="10"/>
        <v>0</v>
      </c>
      <c r="U46" s="130">
        <f t="shared" si="11"/>
        <v>0.09</v>
      </c>
      <c r="V46" s="131">
        <f t="shared" si="12"/>
        <v>0.09</v>
      </c>
      <c r="W46" s="172"/>
      <c r="X46" s="263">
        <f t="shared" si="20"/>
        <v>-0.03071672354948805</v>
      </c>
    </row>
    <row r="47" spans="1:24" s="6" customFormat="1" ht="18">
      <c r="A47" s="8"/>
      <c r="B47" s="38" t="s">
        <v>79</v>
      </c>
      <c r="C47" s="94">
        <v>18050000</v>
      </c>
      <c r="D47" s="132">
        <v>64420</v>
      </c>
      <c r="E47" s="132">
        <v>23620</v>
      </c>
      <c r="F47" s="133">
        <v>24281.43</v>
      </c>
      <c r="G47" s="122">
        <f t="shared" si="9"/>
        <v>661.4300000000003</v>
      </c>
      <c r="H47" s="275">
        <f>F47/E47*100</f>
        <v>102.80029635901778</v>
      </c>
      <c r="I47" s="128">
        <f t="shared" si="1"/>
        <v>-40138.57</v>
      </c>
      <c r="J47" s="172">
        <f>F47/D47</f>
        <v>0.3769237814343372</v>
      </c>
      <c r="K47" s="128"/>
      <c r="L47" s="128"/>
      <c r="M47" s="128"/>
      <c r="N47" s="128">
        <v>223368.23</v>
      </c>
      <c r="O47" s="128">
        <f t="shared" si="16"/>
        <v>-158948.23</v>
      </c>
      <c r="P47" s="172">
        <f t="shared" si="17"/>
        <v>0.28840269719646344</v>
      </c>
      <c r="Q47" s="143">
        <v>20649.68</v>
      </c>
      <c r="R47" s="143">
        <f t="shared" si="5"/>
        <v>3631.75</v>
      </c>
      <c r="S47" s="185">
        <f t="shared" si="23"/>
        <v>1.17587439611655</v>
      </c>
      <c r="T47" s="127">
        <f t="shared" si="10"/>
        <v>23620</v>
      </c>
      <c r="U47" s="130">
        <f t="shared" si="11"/>
        <v>24281.43</v>
      </c>
      <c r="V47" s="131">
        <f t="shared" si="12"/>
        <v>661.4300000000003</v>
      </c>
      <c r="W47" s="172">
        <f>U47/T47</f>
        <v>1.0280029635901777</v>
      </c>
      <c r="X47" s="263">
        <f t="shared" si="20"/>
        <v>0.8874716989200866</v>
      </c>
    </row>
    <row r="48" spans="1:24" s="6" customFormat="1" ht="15" customHeight="1" hidden="1">
      <c r="A48" s="8"/>
      <c r="B48" s="44" t="s">
        <v>85</v>
      </c>
      <c r="C48" s="85">
        <v>18050200</v>
      </c>
      <c r="D48" s="86">
        <v>0</v>
      </c>
      <c r="E48" s="86">
        <f>D48</f>
        <v>0</v>
      </c>
      <c r="F48" s="114">
        <v>0.01</v>
      </c>
      <c r="G48" s="86">
        <f>F48-E48</f>
        <v>0.01</v>
      </c>
      <c r="H48" s="276"/>
      <c r="I48" s="87">
        <f t="shared" si="1"/>
        <v>0.01</v>
      </c>
      <c r="J48" s="90"/>
      <c r="K48" s="87"/>
      <c r="L48" s="87"/>
      <c r="M48" s="87"/>
      <c r="N48" s="87">
        <v>0.01</v>
      </c>
      <c r="O48" s="87">
        <f t="shared" si="16"/>
        <v>-0.01</v>
      </c>
      <c r="P48" s="90">
        <f t="shared" si="17"/>
        <v>0</v>
      </c>
      <c r="Q48" s="104">
        <f>N48</f>
        <v>0.01</v>
      </c>
      <c r="R48" s="104">
        <f t="shared" si="5"/>
        <v>0</v>
      </c>
      <c r="S48" s="177">
        <f t="shared" si="23"/>
        <v>1</v>
      </c>
      <c r="T48" s="88">
        <f t="shared" si="10"/>
        <v>0</v>
      </c>
      <c r="U48" s="118">
        <f t="shared" si="11"/>
        <v>0.01</v>
      </c>
      <c r="V48" s="89">
        <f t="shared" si="12"/>
        <v>0.01</v>
      </c>
      <c r="W48" s="90"/>
      <c r="X48" s="263">
        <f t="shared" si="20"/>
        <v>1</v>
      </c>
    </row>
    <row r="49" spans="1:24" s="6" customFormat="1" ht="15" customHeight="1" hidden="1">
      <c r="A49" s="8"/>
      <c r="B49" s="44" t="s">
        <v>86</v>
      </c>
      <c r="C49" s="85">
        <v>18050300</v>
      </c>
      <c r="D49" s="86">
        <v>12600</v>
      </c>
      <c r="E49" s="86">
        <v>3600</v>
      </c>
      <c r="F49" s="114">
        <v>3894.04</v>
      </c>
      <c r="G49" s="86">
        <f>F49-E49</f>
        <v>294.03999999999996</v>
      </c>
      <c r="H49" s="276">
        <f>F49/E49</f>
        <v>1.0816777777777777</v>
      </c>
      <c r="I49" s="87">
        <f t="shared" si="1"/>
        <v>-8705.96</v>
      </c>
      <c r="J49" s="90">
        <f>F49/D49</f>
        <v>0.30905079365079363</v>
      </c>
      <c r="K49" s="87"/>
      <c r="L49" s="87"/>
      <c r="M49" s="87"/>
      <c r="N49" s="87">
        <v>45030.34</v>
      </c>
      <c r="O49" s="87">
        <f t="shared" si="16"/>
        <v>-32430.339999999997</v>
      </c>
      <c r="P49" s="90">
        <f t="shared" si="17"/>
        <v>0.2798113449731892</v>
      </c>
      <c r="Q49" s="104">
        <v>3585.03</v>
      </c>
      <c r="R49" s="104">
        <f t="shared" si="5"/>
        <v>309.00999999999976</v>
      </c>
      <c r="S49" s="177">
        <f t="shared" si="23"/>
        <v>1.0861945367263313</v>
      </c>
      <c r="T49" s="88">
        <f t="shared" si="10"/>
        <v>3600</v>
      </c>
      <c r="U49" s="118">
        <f t="shared" si="11"/>
        <v>3894.04</v>
      </c>
      <c r="V49" s="89">
        <f t="shared" si="12"/>
        <v>294.03999999999996</v>
      </c>
      <c r="W49" s="90">
        <f>U49/T49</f>
        <v>1.0816777777777777</v>
      </c>
      <c r="X49" s="263">
        <f t="shared" si="20"/>
        <v>0.8063831917531421</v>
      </c>
    </row>
    <row r="50" spans="1:24" s="6" customFormat="1" ht="15" customHeight="1" hidden="1">
      <c r="A50" s="8"/>
      <c r="B50" s="44" t="s">
        <v>87</v>
      </c>
      <c r="C50" s="85">
        <v>18050400</v>
      </c>
      <c r="D50" s="86">
        <v>51800</v>
      </c>
      <c r="E50" s="86">
        <v>20000</v>
      </c>
      <c r="F50" s="114">
        <v>20365.55</v>
      </c>
      <c r="G50" s="86">
        <f>F50-E50</f>
        <v>365.5499999999993</v>
      </c>
      <c r="H50" s="276">
        <f>F50/E50</f>
        <v>1.0182775</v>
      </c>
      <c r="I50" s="87">
        <f t="shared" si="1"/>
        <v>-31434.45</v>
      </c>
      <c r="J50" s="90">
        <f>F50/D50</f>
        <v>0.39315733590733587</v>
      </c>
      <c r="K50" s="87"/>
      <c r="L50" s="87"/>
      <c r="M50" s="87"/>
      <c r="N50" s="87">
        <v>178270.24</v>
      </c>
      <c r="O50" s="87">
        <f t="shared" si="16"/>
        <v>-126470.23999999999</v>
      </c>
      <c r="P50" s="90">
        <f t="shared" si="17"/>
        <v>0.29057009178873605</v>
      </c>
      <c r="Q50" s="104">
        <v>17048.54</v>
      </c>
      <c r="R50" s="104">
        <f t="shared" si="5"/>
        <v>3317.0099999999984</v>
      </c>
      <c r="S50" s="177">
        <f t="shared" si="23"/>
        <v>1.1945627015568487</v>
      </c>
      <c r="T50" s="88">
        <f t="shared" si="10"/>
        <v>20000</v>
      </c>
      <c r="U50" s="118">
        <f t="shared" si="11"/>
        <v>20365.55</v>
      </c>
      <c r="V50" s="89">
        <f t="shared" si="12"/>
        <v>365.5499999999993</v>
      </c>
      <c r="W50" s="90">
        <f>U50/T50</f>
        <v>1.0182775</v>
      </c>
      <c r="X50" s="263">
        <f t="shared" si="20"/>
        <v>0.9039926097681127</v>
      </c>
    </row>
    <row r="51" spans="1:24" s="6" customFormat="1" ht="15" customHeight="1" hidden="1">
      <c r="A51" s="8"/>
      <c r="B51" s="44" t="s">
        <v>88</v>
      </c>
      <c r="C51" s="85">
        <v>18050500</v>
      </c>
      <c r="D51" s="86">
        <v>20</v>
      </c>
      <c r="E51" s="86">
        <v>20</v>
      </c>
      <c r="F51" s="114">
        <v>21.84</v>
      </c>
      <c r="G51" s="86">
        <f>F51-E51</f>
        <v>1.8399999999999999</v>
      </c>
      <c r="H51" s="276">
        <f>F51/E51</f>
        <v>1.092</v>
      </c>
      <c r="I51" s="87">
        <f t="shared" si="1"/>
        <v>1.8399999999999999</v>
      </c>
      <c r="J51" s="90">
        <f>F51/D51</f>
        <v>1.092</v>
      </c>
      <c r="K51" s="87"/>
      <c r="L51" s="87"/>
      <c r="M51" s="87"/>
      <c r="N51" s="87">
        <v>67.63</v>
      </c>
      <c r="O51" s="87">
        <f t="shared" si="16"/>
        <v>-47.629999999999995</v>
      </c>
      <c r="P51" s="90">
        <f t="shared" si="17"/>
        <v>0.29572674848440045</v>
      </c>
      <c r="Q51" s="104">
        <v>16.11</v>
      </c>
      <c r="R51" s="104">
        <f t="shared" si="5"/>
        <v>5.73</v>
      </c>
      <c r="S51" s="177">
        <f t="shared" si="23"/>
        <v>1.3556797020484173</v>
      </c>
      <c r="T51" s="88">
        <f t="shared" si="10"/>
        <v>20</v>
      </c>
      <c r="U51" s="118">
        <f t="shared" si="11"/>
        <v>21.84</v>
      </c>
      <c r="V51" s="89">
        <f t="shared" si="12"/>
        <v>1.8399999999999999</v>
      </c>
      <c r="W51" s="90"/>
      <c r="X51" s="263">
        <f t="shared" si="20"/>
        <v>1.0599529535640169</v>
      </c>
    </row>
    <row r="52" spans="1:24" s="6" customFormat="1" ht="15" customHeight="1" hidden="1">
      <c r="A52" s="8"/>
      <c r="B52" s="190"/>
      <c r="C52" s="37"/>
      <c r="D52" s="30">
        <v>0</v>
      </c>
      <c r="E52" s="30">
        <f>D52</f>
        <v>0</v>
      </c>
      <c r="F52" s="222">
        <v>0</v>
      </c>
      <c r="G52" s="30">
        <f>F52-E52</f>
        <v>0</v>
      </c>
      <c r="H52" s="275"/>
      <c r="I52" s="96">
        <f t="shared" si="1"/>
        <v>0</v>
      </c>
      <c r="J52" s="82"/>
      <c r="K52" s="33"/>
      <c r="L52" s="33"/>
      <c r="M52" s="33"/>
      <c r="N52" s="33"/>
      <c r="O52" s="33"/>
      <c r="P52" s="82"/>
      <c r="Q52" s="96">
        <v>0</v>
      </c>
      <c r="R52" s="96">
        <f t="shared" si="5"/>
        <v>0</v>
      </c>
      <c r="S52" s="178"/>
      <c r="T52" s="111">
        <f t="shared" si="10"/>
        <v>0</v>
      </c>
      <c r="U52" s="119">
        <f t="shared" si="11"/>
        <v>0</v>
      </c>
      <c r="V52" s="131">
        <f t="shared" si="12"/>
        <v>0</v>
      </c>
      <c r="W52" s="82"/>
      <c r="X52" s="263">
        <f t="shared" si="20"/>
        <v>0</v>
      </c>
    </row>
    <row r="53" spans="1:24" s="6" customFormat="1" ht="17.25">
      <c r="A53" s="7"/>
      <c r="B53" s="14" t="s">
        <v>12</v>
      </c>
      <c r="C53" s="64">
        <v>20000000</v>
      </c>
      <c r="D53" s="123">
        <f>D54+D55+D56+D57+D58+D60+D62+D63+D64+D65+D66+D71+D72+D76+D59+D61</f>
        <v>11921.8</v>
      </c>
      <c r="E53" s="123">
        <f>E54+E55+E56+E57+E58+E60+E62+E63+E64+E65+E66+E71+E72+E76+E59+E61</f>
        <v>2809.6</v>
      </c>
      <c r="F53" s="123">
        <f>F54+F55+F56+F57+F58+F60+F62+F63+F64+F65+F66+F71+F72+F76+F59+F61</f>
        <v>3107.85</v>
      </c>
      <c r="G53" s="123">
        <f>G54+G55+G56+G57+G58+G60+G62+G63+G64+G65+G66+G71+G72+G76+G59+G61</f>
        <v>298.2499999999999</v>
      </c>
      <c r="H53" s="167">
        <f aca="true" t="shared" si="24" ref="H53:H72">F53/E53</f>
        <v>1.1061539009111618</v>
      </c>
      <c r="I53" s="124">
        <f>F53-D53</f>
        <v>-8813.949999999999</v>
      </c>
      <c r="J53" s="180">
        <f aca="true" t="shared" si="25" ref="J53:J72">F53/D53</f>
        <v>0.26068630575919743</v>
      </c>
      <c r="K53" s="124"/>
      <c r="L53" s="124"/>
      <c r="M53" s="124"/>
      <c r="N53" s="124">
        <v>69380.98</v>
      </c>
      <c r="O53" s="124">
        <f>D53-N53</f>
        <v>-57459.17999999999</v>
      </c>
      <c r="P53" s="180">
        <f>D53/N53</f>
        <v>0.17183095424711498</v>
      </c>
      <c r="Q53" s="220">
        <v>4227.73</v>
      </c>
      <c r="R53" s="123">
        <f t="shared" si="5"/>
        <v>-1119.8799999999997</v>
      </c>
      <c r="S53" s="167">
        <f>F53/Q53</f>
        <v>0.7351108041431218</v>
      </c>
      <c r="T53" s="123">
        <f>T54+T55+T56+T57+T58+T60+T62+T63+T64+T65+T66+T71+T72+T76+T59+T61</f>
        <v>2809.6</v>
      </c>
      <c r="U53" s="123">
        <f>U54+U55+U56+U57+U58+U60+U62+U63+U64+U65+U66+U71+U72+U76+U59+U61</f>
        <v>3107.85</v>
      </c>
      <c r="V53" s="123">
        <f>V54+V55+V56+V57+V58+V60+V62+V63+V64+V65+V66+V71+V72+V76</f>
        <v>305.7999999999999</v>
      </c>
      <c r="W53" s="167">
        <f>U53/T53</f>
        <v>1.1061539009111618</v>
      </c>
      <c r="X53" s="263">
        <f t="shared" si="20"/>
        <v>0.5632798498960068</v>
      </c>
    </row>
    <row r="54" spans="1:24" s="6" customFormat="1" ht="46.5">
      <c r="A54" s="8"/>
      <c r="B54" s="184" t="s">
        <v>93</v>
      </c>
      <c r="C54" s="37">
        <v>21010301</v>
      </c>
      <c r="D54" s="122">
        <v>102</v>
      </c>
      <c r="E54" s="122">
        <v>1</v>
      </c>
      <c r="F54" s="126">
        <v>1.11</v>
      </c>
      <c r="G54" s="122">
        <f aca="true" t="shared" si="26" ref="G54:G78">F54-E54</f>
        <v>0.1100000000000001</v>
      </c>
      <c r="H54" s="280">
        <f t="shared" si="24"/>
        <v>1.11</v>
      </c>
      <c r="I54" s="135">
        <f>F54-D54</f>
        <v>-100.89</v>
      </c>
      <c r="J54" s="179">
        <f t="shared" si="25"/>
        <v>0.010882352941176471</v>
      </c>
      <c r="K54" s="135"/>
      <c r="L54" s="135"/>
      <c r="M54" s="135"/>
      <c r="N54" s="135">
        <v>2633.96</v>
      </c>
      <c r="O54" s="135">
        <f>D54-N54</f>
        <v>-2531.96</v>
      </c>
      <c r="P54" s="179">
        <f>D54/N54</f>
        <v>0.03872496165469483</v>
      </c>
      <c r="Q54" s="135">
        <v>8.18</v>
      </c>
      <c r="R54" s="135">
        <f t="shared" si="5"/>
        <v>-7.069999999999999</v>
      </c>
      <c r="S54" s="179">
        <f>F54/Q54</f>
        <v>0.13569682151589244</v>
      </c>
      <c r="T54" s="127">
        <f>E54</f>
        <v>1</v>
      </c>
      <c r="U54" s="130">
        <f>F54</f>
        <v>1.11</v>
      </c>
      <c r="V54" s="131">
        <f aca="true" t="shared" si="27" ref="V54:V78">U54-T54</f>
        <v>0.1100000000000001</v>
      </c>
      <c r="W54" s="179">
        <f>U54/T54</f>
        <v>1.11</v>
      </c>
      <c r="X54" s="263">
        <f t="shared" si="20"/>
        <v>0.0969718598611976</v>
      </c>
    </row>
    <row r="55" spans="1:24" s="6" customFormat="1" ht="30.75">
      <c r="A55" s="8"/>
      <c r="B55" s="106" t="s">
        <v>72</v>
      </c>
      <c r="C55" s="36">
        <v>21050000</v>
      </c>
      <c r="D55" s="122">
        <v>3000</v>
      </c>
      <c r="E55" s="122">
        <v>0</v>
      </c>
      <c r="F55" s="126">
        <v>0</v>
      </c>
      <c r="G55" s="122">
        <f t="shared" si="26"/>
        <v>0</v>
      </c>
      <c r="H55" s="280" t="e">
        <f t="shared" si="24"/>
        <v>#DIV/0!</v>
      </c>
      <c r="I55" s="135">
        <f aca="true" t="shared" si="28" ref="I55:I78">F55-D55</f>
        <v>-3000</v>
      </c>
      <c r="J55" s="179">
        <f t="shared" si="25"/>
        <v>0</v>
      </c>
      <c r="K55" s="135"/>
      <c r="L55" s="135"/>
      <c r="M55" s="135"/>
      <c r="N55" s="135">
        <v>27997.6</v>
      </c>
      <c r="O55" s="135">
        <f aca="true" t="shared" si="29" ref="O55:O72">D55-N55</f>
        <v>-24997.6</v>
      </c>
      <c r="P55" s="179">
        <f aca="true" t="shared" si="30" ref="P55:P72">D55/N55</f>
        <v>0.10715204160356602</v>
      </c>
      <c r="Q55" s="135">
        <v>0</v>
      </c>
      <c r="R55" s="135">
        <f t="shared" si="5"/>
        <v>0</v>
      </c>
      <c r="S55" s="179" t="e">
        <f aca="true" t="shared" si="31" ref="S55:S78">F55/Q55</f>
        <v>#DIV/0!</v>
      </c>
      <c r="T55" s="127">
        <f aca="true" t="shared" si="32" ref="T55:T66">E55</f>
        <v>0</v>
      </c>
      <c r="U55" s="130">
        <f aca="true" t="shared" si="33" ref="U55:U66">F55</f>
        <v>0</v>
      </c>
      <c r="V55" s="131">
        <f t="shared" si="27"/>
        <v>0</v>
      </c>
      <c r="W55" s="179" t="e">
        <f aca="true" t="shared" si="34" ref="W55:W77">U55/T55</f>
        <v>#DIV/0!</v>
      </c>
      <c r="X55" s="263" t="e">
        <f t="shared" si="20"/>
        <v>#DIV/0!</v>
      </c>
    </row>
    <row r="56" spans="1:24" s="6" customFormat="1" ht="18">
      <c r="A56" s="8"/>
      <c r="B56" s="106" t="s">
        <v>59</v>
      </c>
      <c r="C56" s="36">
        <v>21080500</v>
      </c>
      <c r="D56" s="122">
        <v>2</v>
      </c>
      <c r="E56" s="122">
        <v>0</v>
      </c>
      <c r="F56" s="126">
        <v>0</v>
      </c>
      <c r="G56" s="122">
        <f t="shared" si="26"/>
        <v>0</v>
      </c>
      <c r="H56" s="280" t="e">
        <f t="shared" si="24"/>
        <v>#DIV/0!</v>
      </c>
      <c r="I56" s="135">
        <f t="shared" si="28"/>
        <v>-2</v>
      </c>
      <c r="J56" s="179">
        <f t="shared" si="25"/>
        <v>0</v>
      </c>
      <c r="K56" s="135"/>
      <c r="L56" s="135"/>
      <c r="M56" s="135"/>
      <c r="N56" s="135">
        <v>153.3</v>
      </c>
      <c r="O56" s="135">
        <f t="shared" si="29"/>
        <v>-151.3</v>
      </c>
      <c r="P56" s="179">
        <f t="shared" si="30"/>
        <v>0.01304631441617743</v>
      </c>
      <c r="Q56" s="135">
        <v>14.87</v>
      </c>
      <c r="R56" s="135">
        <f t="shared" si="5"/>
        <v>-14.87</v>
      </c>
      <c r="S56" s="179">
        <f t="shared" si="31"/>
        <v>0</v>
      </c>
      <c r="T56" s="127">
        <f t="shared" si="32"/>
        <v>0</v>
      </c>
      <c r="U56" s="130">
        <f t="shared" si="33"/>
        <v>0</v>
      </c>
      <c r="V56" s="131">
        <f t="shared" si="27"/>
        <v>0</v>
      </c>
      <c r="W56" s="179" t="e">
        <f t="shared" si="34"/>
        <v>#DIV/0!</v>
      </c>
      <c r="X56" s="263">
        <f t="shared" si="20"/>
        <v>-0.01304631441617743</v>
      </c>
    </row>
    <row r="57" spans="1:24" s="6" customFormat="1" ht="31.5">
      <c r="A57" s="8"/>
      <c r="B57" s="194" t="s">
        <v>37</v>
      </c>
      <c r="C57" s="65">
        <v>21080900</v>
      </c>
      <c r="D57" s="122">
        <v>1.5</v>
      </c>
      <c r="E57" s="122">
        <v>0.5</v>
      </c>
      <c r="F57" s="126">
        <v>2.02</v>
      </c>
      <c r="G57" s="122">
        <f t="shared" si="26"/>
        <v>1.52</v>
      </c>
      <c r="H57" s="280">
        <f t="shared" si="24"/>
        <v>4.04</v>
      </c>
      <c r="I57" s="135">
        <f t="shared" si="28"/>
        <v>0.52</v>
      </c>
      <c r="J57" s="179">
        <f t="shared" si="25"/>
        <v>1.3466666666666667</v>
      </c>
      <c r="K57" s="135"/>
      <c r="L57" s="135"/>
      <c r="M57" s="135"/>
      <c r="N57" s="135">
        <v>12.95</v>
      </c>
      <c r="O57" s="135">
        <f t="shared" si="29"/>
        <v>-11.45</v>
      </c>
      <c r="P57" s="292">
        <f t="shared" si="30"/>
        <v>0.11583011583011583</v>
      </c>
      <c r="Q57" s="135">
        <v>0</v>
      </c>
      <c r="R57" s="135">
        <f t="shared" si="5"/>
        <v>2.02</v>
      </c>
      <c r="S57" s="179"/>
      <c r="T57" s="127">
        <f t="shared" si="32"/>
        <v>0.5</v>
      </c>
      <c r="U57" s="130">
        <f t="shared" si="33"/>
        <v>2.02</v>
      </c>
      <c r="V57" s="131">
        <f t="shared" si="27"/>
        <v>1.52</v>
      </c>
      <c r="W57" s="179">
        <f t="shared" si="34"/>
        <v>4.04</v>
      </c>
      <c r="X57" s="263">
        <f t="shared" si="20"/>
        <v>-0.11583011583011583</v>
      </c>
    </row>
    <row r="58" spans="1:24" s="6" customFormat="1" ht="18">
      <c r="A58" s="8"/>
      <c r="B58" s="107" t="s">
        <v>16</v>
      </c>
      <c r="C58" s="66">
        <v>21081100</v>
      </c>
      <c r="D58" s="122">
        <v>60</v>
      </c>
      <c r="E58" s="122">
        <v>20</v>
      </c>
      <c r="F58" s="126">
        <v>28.43</v>
      </c>
      <c r="G58" s="122">
        <f t="shared" si="26"/>
        <v>8.43</v>
      </c>
      <c r="H58" s="280">
        <f t="shared" si="24"/>
        <v>1.4215</v>
      </c>
      <c r="I58" s="135">
        <f t="shared" si="28"/>
        <v>-31.57</v>
      </c>
      <c r="J58" s="179">
        <f t="shared" si="25"/>
        <v>0.47383333333333333</v>
      </c>
      <c r="K58" s="135"/>
      <c r="L58" s="135"/>
      <c r="M58" s="135"/>
      <c r="N58" s="135">
        <v>705.31</v>
      </c>
      <c r="O58" s="135">
        <f t="shared" si="29"/>
        <v>-645.31</v>
      </c>
      <c r="P58" s="179">
        <f t="shared" si="30"/>
        <v>0.08506897676199118</v>
      </c>
      <c r="Q58" s="135">
        <v>11.17</v>
      </c>
      <c r="R58" s="135">
        <f t="shared" si="5"/>
        <v>17.259999999999998</v>
      </c>
      <c r="S58" s="179">
        <f t="shared" si="31"/>
        <v>2.5452103849597134</v>
      </c>
      <c r="T58" s="127">
        <f t="shared" si="32"/>
        <v>20</v>
      </c>
      <c r="U58" s="130">
        <f t="shared" si="33"/>
        <v>28.43</v>
      </c>
      <c r="V58" s="131">
        <f t="shared" si="27"/>
        <v>8.43</v>
      </c>
      <c r="W58" s="179">
        <f t="shared" si="34"/>
        <v>1.4215</v>
      </c>
      <c r="X58" s="263">
        <f t="shared" si="20"/>
        <v>2.4601414081977224</v>
      </c>
    </row>
    <row r="59" spans="1:24" s="6" customFormat="1" ht="46.5">
      <c r="A59" s="8"/>
      <c r="B59" s="249" t="s">
        <v>75</v>
      </c>
      <c r="C59" s="66">
        <v>21081500</v>
      </c>
      <c r="D59" s="122">
        <v>3</v>
      </c>
      <c r="E59" s="122">
        <v>1</v>
      </c>
      <c r="F59" s="126">
        <v>-6.55</v>
      </c>
      <c r="G59" s="122">
        <f t="shared" si="26"/>
        <v>-7.55</v>
      </c>
      <c r="H59" s="280">
        <f t="shared" si="24"/>
        <v>-6.55</v>
      </c>
      <c r="I59" s="135">
        <f t="shared" si="28"/>
        <v>-9.55</v>
      </c>
      <c r="J59" s="179">
        <f t="shared" si="25"/>
        <v>-2.183333333333333</v>
      </c>
      <c r="K59" s="135"/>
      <c r="L59" s="135"/>
      <c r="M59" s="135"/>
      <c r="N59" s="135">
        <v>114.3</v>
      </c>
      <c r="O59" s="135">
        <f t="shared" si="29"/>
        <v>-111.3</v>
      </c>
      <c r="P59" s="179">
        <f t="shared" si="30"/>
        <v>0.026246719160104987</v>
      </c>
      <c r="Q59" s="135">
        <v>0</v>
      </c>
      <c r="R59" s="135">
        <f t="shared" si="5"/>
        <v>-6.55</v>
      </c>
      <c r="S59" s="179" t="e">
        <f t="shared" si="31"/>
        <v>#DIV/0!</v>
      </c>
      <c r="T59" s="127">
        <f t="shared" si="32"/>
        <v>1</v>
      </c>
      <c r="U59" s="130">
        <f t="shared" si="33"/>
        <v>-6.55</v>
      </c>
      <c r="V59" s="131">
        <f t="shared" si="27"/>
        <v>-7.55</v>
      </c>
      <c r="W59" s="179">
        <f t="shared" si="34"/>
        <v>-6.55</v>
      </c>
      <c r="X59" s="263" t="e">
        <f t="shared" si="20"/>
        <v>#DIV/0!</v>
      </c>
    </row>
    <row r="60" spans="1:24" s="6" customFormat="1" ht="30.75">
      <c r="A60" s="8"/>
      <c r="B60" s="249" t="s">
        <v>97</v>
      </c>
      <c r="C60" s="43">
        <v>22010300</v>
      </c>
      <c r="D60" s="122">
        <v>265</v>
      </c>
      <c r="E60" s="122">
        <v>85</v>
      </c>
      <c r="F60" s="126">
        <v>84.59</v>
      </c>
      <c r="G60" s="122">
        <f t="shared" si="26"/>
        <v>-0.4099999999999966</v>
      </c>
      <c r="H60" s="280">
        <f t="shared" si="24"/>
        <v>0.9951764705882353</v>
      </c>
      <c r="I60" s="135">
        <f t="shared" si="28"/>
        <v>-180.41</v>
      </c>
      <c r="J60" s="179">
        <f t="shared" si="25"/>
        <v>0.3192075471698113</v>
      </c>
      <c r="K60" s="135"/>
      <c r="L60" s="135"/>
      <c r="M60" s="135"/>
      <c r="N60" s="135">
        <v>1205.14</v>
      </c>
      <c r="O60" s="135">
        <f t="shared" si="29"/>
        <v>-940.1400000000001</v>
      </c>
      <c r="P60" s="179">
        <f t="shared" si="30"/>
        <v>0.21989146489204572</v>
      </c>
      <c r="Q60" s="135">
        <v>89.45</v>
      </c>
      <c r="R60" s="135">
        <f t="shared" si="5"/>
        <v>-4.859999999999999</v>
      </c>
      <c r="S60" s="179">
        <f t="shared" si="31"/>
        <v>0.9456679709334824</v>
      </c>
      <c r="T60" s="127">
        <f t="shared" si="32"/>
        <v>85</v>
      </c>
      <c r="U60" s="130">
        <f t="shared" si="33"/>
        <v>84.59</v>
      </c>
      <c r="V60" s="131">
        <f t="shared" si="27"/>
        <v>-0.4099999999999966</v>
      </c>
      <c r="W60" s="179">
        <f t="shared" si="34"/>
        <v>0.9951764705882353</v>
      </c>
      <c r="X60" s="263">
        <f t="shared" si="20"/>
        <v>0.7257765060414367</v>
      </c>
    </row>
    <row r="61" spans="1:24" s="6" customFormat="1" ht="18">
      <c r="A61" s="8"/>
      <c r="B61" s="107" t="s">
        <v>127</v>
      </c>
      <c r="C61" s="43">
        <v>22010200</v>
      </c>
      <c r="D61" s="122">
        <v>0</v>
      </c>
      <c r="E61" s="122">
        <v>0</v>
      </c>
      <c r="F61" s="126">
        <v>0</v>
      </c>
      <c r="G61" s="122">
        <f t="shared" si="26"/>
        <v>0</v>
      </c>
      <c r="H61" s="280" t="e">
        <f t="shared" si="24"/>
        <v>#DIV/0!</v>
      </c>
      <c r="I61" s="135">
        <f t="shared" si="28"/>
        <v>0</v>
      </c>
      <c r="J61" s="179" t="e">
        <f t="shared" si="25"/>
        <v>#DIV/0!</v>
      </c>
      <c r="K61" s="135"/>
      <c r="L61" s="135"/>
      <c r="M61" s="135"/>
      <c r="N61" s="135">
        <v>23.38</v>
      </c>
      <c r="O61" s="135">
        <f t="shared" si="29"/>
        <v>-23.38</v>
      </c>
      <c r="P61" s="179">
        <f t="shared" si="30"/>
        <v>0</v>
      </c>
      <c r="Q61" s="135">
        <v>0</v>
      </c>
      <c r="R61" s="135">
        <f t="shared" si="5"/>
        <v>0</v>
      </c>
      <c r="S61" s="179"/>
      <c r="T61" s="127">
        <f t="shared" si="32"/>
        <v>0</v>
      </c>
      <c r="U61" s="130">
        <f t="shared" si="33"/>
        <v>0</v>
      </c>
      <c r="V61" s="131">
        <f t="shared" si="27"/>
        <v>0</v>
      </c>
      <c r="W61" s="179" t="e">
        <f t="shared" si="34"/>
        <v>#DIV/0!</v>
      </c>
      <c r="X61" s="263">
        <f t="shared" si="20"/>
        <v>0</v>
      </c>
    </row>
    <row r="62" spans="1:24" s="6" customFormat="1" ht="18">
      <c r="A62" s="8"/>
      <c r="B62" s="255" t="s">
        <v>73</v>
      </c>
      <c r="C62" s="66">
        <v>22012500</v>
      </c>
      <c r="D62" s="122">
        <v>4900</v>
      </c>
      <c r="E62" s="122">
        <v>1500</v>
      </c>
      <c r="F62" s="126">
        <v>1830.59</v>
      </c>
      <c r="G62" s="122">
        <f t="shared" si="26"/>
        <v>330.5899999999999</v>
      </c>
      <c r="H62" s="280">
        <f t="shared" si="24"/>
        <v>1.2203933333333332</v>
      </c>
      <c r="I62" s="135">
        <f t="shared" si="28"/>
        <v>-3069.41</v>
      </c>
      <c r="J62" s="179">
        <f t="shared" si="25"/>
        <v>0.37358979591836733</v>
      </c>
      <c r="K62" s="135"/>
      <c r="L62" s="135"/>
      <c r="M62" s="135"/>
      <c r="N62" s="135">
        <v>20110.14</v>
      </c>
      <c r="O62" s="135">
        <f t="shared" si="29"/>
        <v>-15210.14</v>
      </c>
      <c r="P62" s="179">
        <f t="shared" si="30"/>
        <v>0.2436581744333953</v>
      </c>
      <c r="Q62" s="135">
        <v>1052.56</v>
      </c>
      <c r="R62" s="135">
        <f t="shared" si="5"/>
        <v>778.03</v>
      </c>
      <c r="S62" s="179">
        <f t="shared" si="31"/>
        <v>1.7391787641559626</v>
      </c>
      <c r="T62" s="127">
        <f t="shared" si="32"/>
        <v>1500</v>
      </c>
      <c r="U62" s="130">
        <f t="shared" si="33"/>
        <v>1830.59</v>
      </c>
      <c r="V62" s="131">
        <f t="shared" si="27"/>
        <v>330.5899999999999</v>
      </c>
      <c r="W62" s="179">
        <f t="shared" si="34"/>
        <v>1.2203933333333332</v>
      </c>
      <c r="X62" s="263">
        <f t="shared" si="20"/>
        <v>1.4955205897225674</v>
      </c>
    </row>
    <row r="63" spans="1:24" s="6" customFormat="1" ht="31.5">
      <c r="A63" s="8"/>
      <c r="B63" s="255" t="s">
        <v>94</v>
      </c>
      <c r="C63" s="66">
        <v>22012600</v>
      </c>
      <c r="D63" s="122">
        <v>255</v>
      </c>
      <c r="E63" s="122">
        <v>85</v>
      </c>
      <c r="F63" s="126">
        <v>56.73</v>
      </c>
      <c r="G63" s="122">
        <f t="shared" si="26"/>
        <v>-28.270000000000003</v>
      </c>
      <c r="H63" s="280">
        <f t="shared" si="24"/>
        <v>0.6674117647058824</v>
      </c>
      <c r="I63" s="135">
        <f t="shared" si="28"/>
        <v>-198.27</v>
      </c>
      <c r="J63" s="179">
        <f t="shared" si="25"/>
        <v>0.22247058823529411</v>
      </c>
      <c r="K63" s="135"/>
      <c r="L63" s="135"/>
      <c r="M63" s="135"/>
      <c r="N63" s="135">
        <v>710.04</v>
      </c>
      <c r="O63" s="135">
        <f t="shared" si="29"/>
        <v>-455.03999999999996</v>
      </c>
      <c r="P63" s="179">
        <f t="shared" si="30"/>
        <v>0.3591346966368092</v>
      </c>
      <c r="Q63" s="135">
        <v>44.53</v>
      </c>
      <c r="R63" s="135">
        <f t="shared" si="5"/>
        <v>12.199999999999996</v>
      </c>
      <c r="S63" s="179">
        <f t="shared" si="31"/>
        <v>1.273972602739726</v>
      </c>
      <c r="T63" s="127">
        <f t="shared" si="32"/>
        <v>85</v>
      </c>
      <c r="U63" s="130">
        <f t="shared" si="33"/>
        <v>56.73</v>
      </c>
      <c r="V63" s="131">
        <f t="shared" si="27"/>
        <v>-28.270000000000003</v>
      </c>
      <c r="W63" s="179">
        <f t="shared" si="34"/>
        <v>0.6674117647058824</v>
      </c>
      <c r="X63" s="263">
        <f t="shared" si="20"/>
        <v>0.9148379061029168</v>
      </c>
    </row>
    <row r="64" spans="1:24" s="6" customFormat="1" ht="31.5">
      <c r="A64" s="8"/>
      <c r="B64" s="29" t="s">
        <v>98</v>
      </c>
      <c r="C64" s="66">
        <v>22012900</v>
      </c>
      <c r="D64" s="122">
        <v>3</v>
      </c>
      <c r="E64" s="122">
        <v>1</v>
      </c>
      <c r="F64" s="126">
        <v>1.06</v>
      </c>
      <c r="G64" s="122">
        <f t="shared" si="26"/>
        <v>0.06000000000000005</v>
      </c>
      <c r="H64" s="280">
        <f t="shared" si="24"/>
        <v>1.06</v>
      </c>
      <c r="I64" s="135">
        <f t="shared" si="28"/>
        <v>-1.94</v>
      </c>
      <c r="J64" s="179">
        <f t="shared" si="25"/>
        <v>0.35333333333333333</v>
      </c>
      <c r="K64" s="135"/>
      <c r="L64" s="135"/>
      <c r="M64" s="135"/>
      <c r="N64" s="135">
        <v>41.44</v>
      </c>
      <c r="O64" s="135">
        <f t="shared" si="29"/>
        <v>-38.44</v>
      </c>
      <c r="P64" s="179">
        <f t="shared" si="30"/>
        <v>0.0723938223938224</v>
      </c>
      <c r="Q64" s="135">
        <v>0</v>
      </c>
      <c r="R64" s="135">
        <f t="shared" si="5"/>
        <v>1.06</v>
      </c>
      <c r="S64" s="179" t="e">
        <f t="shared" si="31"/>
        <v>#DIV/0!</v>
      </c>
      <c r="T64" s="127">
        <f t="shared" si="32"/>
        <v>1</v>
      </c>
      <c r="U64" s="130">
        <f t="shared" si="33"/>
        <v>1.06</v>
      </c>
      <c r="V64" s="131">
        <f t="shared" si="27"/>
        <v>0.06000000000000005</v>
      </c>
      <c r="W64" s="179">
        <f t="shared" si="34"/>
        <v>1.06</v>
      </c>
      <c r="X64" s="263" t="e">
        <f t="shared" si="20"/>
        <v>#DIV/0!</v>
      </c>
    </row>
    <row r="65" spans="1:24" s="6" customFormat="1" ht="30.75">
      <c r="A65" s="8"/>
      <c r="B65" s="107" t="s">
        <v>14</v>
      </c>
      <c r="C65" s="43">
        <v>22080400</v>
      </c>
      <c r="D65" s="122">
        <v>1590</v>
      </c>
      <c r="E65" s="122">
        <v>530</v>
      </c>
      <c r="F65" s="126">
        <v>564.14</v>
      </c>
      <c r="G65" s="122">
        <f t="shared" si="26"/>
        <v>34.139999999999986</v>
      </c>
      <c r="H65" s="280">
        <f t="shared" si="24"/>
        <v>1.0644150943396227</v>
      </c>
      <c r="I65" s="135">
        <f t="shared" si="28"/>
        <v>-1025.8600000000001</v>
      </c>
      <c r="J65" s="179">
        <f t="shared" si="25"/>
        <v>0.35480503144654085</v>
      </c>
      <c r="K65" s="135"/>
      <c r="L65" s="135"/>
      <c r="M65" s="135"/>
      <c r="N65" s="135">
        <v>6545.96</v>
      </c>
      <c r="O65" s="135">
        <f t="shared" si="29"/>
        <v>-4955.96</v>
      </c>
      <c r="P65" s="179">
        <f t="shared" si="30"/>
        <v>0.24289790955031806</v>
      </c>
      <c r="Q65" s="135">
        <v>684.99</v>
      </c>
      <c r="R65" s="135">
        <f t="shared" si="5"/>
        <v>-120.85000000000002</v>
      </c>
      <c r="S65" s="179">
        <f t="shared" si="31"/>
        <v>0.8235740667746974</v>
      </c>
      <c r="T65" s="127">
        <f t="shared" si="32"/>
        <v>530</v>
      </c>
      <c r="U65" s="130">
        <f t="shared" si="33"/>
        <v>564.14</v>
      </c>
      <c r="V65" s="131">
        <f t="shared" si="27"/>
        <v>34.139999999999986</v>
      </c>
      <c r="W65" s="179">
        <f t="shared" si="34"/>
        <v>1.0644150943396227</v>
      </c>
      <c r="X65" s="263">
        <f t="shared" si="20"/>
        <v>0.5806761572243793</v>
      </c>
    </row>
    <row r="66" spans="1:24" s="6" customFormat="1" ht="19.5" customHeight="1">
      <c r="A66" s="8"/>
      <c r="B66" s="107" t="s">
        <v>15</v>
      </c>
      <c r="C66" s="37">
        <v>22090000</v>
      </c>
      <c r="D66" s="122">
        <v>230.3</v>
      </c>
      <c r="E66" s="122">
        <v>76.1</v>
      </c>
      <c r="F66" s="126">
        <v>45.18</v>
      </c>
      <c r="G66" s="122">
        <f t="shared" si="26"/>
        <v>-30.919999999999995</v>
      </c>
      <c r="H66" s="280">
        <f t="shared" si="24"/>
        <v>0.5936925098554534</v>
      </c>
      <c r="I66" s="135">
        <f t="shared" si="28"/>
        <v>-185.12</v>
      </c>
      <c r="J66" s="179">
        <f t="shared" si="25"/>
        <v>0.19617889709075118</v>
      </c>
      <c r="K66" s="135"/>
      <c r="L66" s="135"/>
      <c r="M66" s="135"/>
      <c r="N66" s="135">
        <v>896.22</v>
      </c>
      <c r="O66" s="135">
        <f t="shared" si="29"/>
        <v>-665.9200000000001</v>
      </c>
      <c r="P66" s="179">
        <f t="shared" si="30"/>
        <v>0.2569681551404789</v>
      </c>
      <c r="Q66" s="135">
        <v>40.09</v>
      </c>
      <c r="R66" s="135">
        <f t="shared" si="5"/>
        <v>5.089999999999996</v>
      </c>
      <c r="S66" s="179">
        <f t="shared" si="31"/>
        <v>1.1269643302569219</v>
      </c>
      <c r="T66" s="127">
        <f t="shared" si="32"/>
        <v>76.1</v>
      </c>
      <c r="U66" s="130">
        <f t="shared" si="33"/>
        <v>45.18</v>
      </c>
      <c r="V66" s="131">
        <f t="shared" si="27"/>
        <v>-30.919999999999995</v>
      </c>
      <c r="W66" s="179">
        <f t="shared" si="34"/>
        <v>0.5936925098554534</v>
      </c>
      <c r="X66" s="263">
        <f t="shared" si="20"/>
        <v>0.869996175116443</v>
      </c>
    </row>
    <row r="67" spans="1:24" s="6" customFormat="1" ht="15" hidden="1">
      <c r="A67" s="8"/>
      <c r="B67" s="261" t="s">
        <v>92</v>
      </c>
      <c r="C67" s="161">
        <v>22090100</v>
      </c>
      <c r="D67" s="86">
        <v>200</v>
      </c>
      <c r="E67" s="86">
        <v>66</v>
      </c>
      <c r="F67" s="114">
        <v>33.9</v>
      </c>
      <c r="G67" s="86">
        <f t="shared" si="26"/>
        <v>-32.1</v>
      </c>
      <c r="H67" s="276">
        <f t="shared" si="24"/>
        <v>0.5136363636363637</v>
      </c>
      <c r="I67" s="87">
        <f t="shared" si="28"/>
        <v>-166.1</v>
      </c>
      <c r="J67" s="90">
        <f t="shared" si="25"/>
        <v>0.16949999999999998</v>
      </c>
      <c r="K67" s="87"/>
      <c r="L67" s="87"/>
      <c r="M67" s="87"/>
      <c r="N67" s="87">
        <v>760.62</v>
      </c>
      <c r="O67" s="87">
        <f t="shared" si="29"/>
        <v>-560.62</v>
      </c>
      <c r="P67" s="90">
        <f t="shared" si="30"/>
        <v>0.2629433882885015</v>
      </c>
      <c r="Q67" s="87">
        <v>32.81</v>
      </c>
      <c r="R67" s="270">
        <f t="shared" si="5"/>
        <v>1.0899999999999963</v>
      </c>
      <c r="S67" s="271">
        <f t="shared" si="31"/>
        <v>1.033221578786955</v>
      </c>
      <c r="T67" s="88">
        <f aca="true" t="shared" si="35" ref="T67:U71">E67</f>
        <v>66</v>
      </c>
      <c r="U67" s="118">
        <f t="shared" si="35"/>
        <v>33.9</v>
      </c>
      <c r="V67" s="89">
        <f t="shared" si="27"/>
        <v>-32.1</v>
      </c>
      <c r="W67" s="90">
        <f t="shared" si="34"/>
        <v>0.5136363636363637</v>
      </c>
      <c r="X67" s="263">
        <f t="shared" si="20"/>
        <v>0.7702781904984535</v>
      </c>
    </row>
    <row r="68" spans="1:24" s="6" customFormat="1" ht="15" hidden="1">
      <c r="A68" s="8"/>
      <c r="B68" s="261" t="s">
        <v>89</v>
      </c>
      <c r="C68" s="161">
        <v>22090200</v>
      </c>
      <c r="D68" s="86">
        <v>0.3</v>
      </c>
      <c r="E68" s="86">
        <v>0.1</v>
      </c>
      <c r="F68" s="114">
        <v>0</v>
      </c>
      <c r="G68" s="86">
        <f t="shared" si="26"/>
        <v>-0.1</v>
      </c>
      <c r="H68" s="276">
        <f t="shared" si="24"/>
        <v>0</v>
      </c>
      <c r="I68" s="87">
        <f t="shared" si="28"/>
        <v>-0.3</v>
      </c>
      <c r="J68" s="90">
        <f t="shared" si="25"/>
        <v>0</v>
      </c>
      <c r="K68" s="87"/>
      <c r="L68" s="87"/>
      <c r="M68" s="87"/>
      <c r="N68" s="87">
        <v>0.18</v>
      </c>
      <c r="O68" s="87">
        <f t="shared" si="29"/>
        <v>0.12</v>
      </c>
      <c r="P68" s="90">
        <f t="shared" si="30"/>
        <v>1.6666666666666667</v>
      </c>
      <c r="Q68" s="87">
        <v>0.01</v>
      </c>
      <c r="R68" s="270">
        <f t="shared" si="5"/>
        <v>-0.01</v>
      </c>
      <c r="S68" s="271">
        <f t="shared" si="31"/>
        <v>0</v>
      </c>
      <c r="T68" s="88">
        <f t="shared" si="35"/>
        <v>0.1</v>
      </c>
      <c r="U68" s="118">
        <f t="shared" si="35"/>
        <v>0</v>
      </c>
      <c r="V68" s="89">
        <f t="shared" si="27"/>
        <v>-0.1</v>
      </c>
      <c r="W68" s="90"/>
      <c r="X68" s="263">
        <f t="shared" si="20"/>
        <v>-1.6666666666666667</v>
      </c>
    </row>
    <row r="69" spans="1:24" s="6" customFormat="1" ht="15" hidden="1">
      <c r="A69" s="8"/>
      <c r="B69" s="261" t="s">
        <v>90</v>
      </c>
      <c r="C69" s="100">
        <v>22090300</v>
      </c>
      <c r="D69" s="86">
        <v>0</v>
      </c>
      <c r="E69" s="86">
        <v>0</v>
      </c>
      <c r="F69" s="114">
        <v>0</v>
      </c>
      <c r="G69" s="86">
        <f t="shared" si="26"/>
        <v>0</v>
      </c>
      <c r="H69" s="276" t="e">
        <f t="shared" si="24"/>
        <v>#DIV/0!</v>
      </c>
      <c r="I69" s="87">
        <f t="shared" si="28"/>
        <v>0</v>
      </c>
      <c r="J69" s="90" t="e">
        <f t="shared" si="25"/>
        <v>#DIV/0!</v>
      </c>
      <c r="K69" s="87"/>
      <c r="L69" s="87"/>
      <c r="M69" s="87"/>
      <c r="N69" s="87">
        <v>0</v>
      </c>
      <c r="O69" s="87">
        <f t="shared" si="29"/>
        <v>0</v>
      </c>
      <c r="P69" s="90" t="e">
        <f t="shared" si="30"/>
        <v>#DIV/0!</v>
      </c>
      <c r="Q69" s="87">
        <f>N69</f>
        <v>0</v>
      </c>
      <c r="R69" s="270">
        <f t="shared" si="5"/>
        <v>0</v>
      </c>
      <c r="S69" s="271" t="e">
        <f t="shared" si="31"/>
        <v>#DIV/0!</v>
      </c>
      <c r="T69" s="88">
        <f t="shared" si="35"/>
        <v>0</v>
      </c>
      <c r="U69" s="118">
        <f t="shared" si="35"/>
        <v>0</v>
      </c>
      <c r="V69" s="89">
        <f t="shared" si="27"/>
        <v>0</v>
      </c>
      <c r="W69" s="90"/>
      <c r="X69" s="263" t="e">
        <f t="shared" si="20"/>
        <v>#DIV/0!</v>
      </c>
    </row>
    <row r="70" spans="1:24" s="6" customFormat="1" ht="15" hidden="1">
      <c r="A70" s="8"/>
      <c r="B70" s="261" t="s">
        <v>91</v>
      </c>
      <c r="C70" s="161">
        <v>22090400</v>
      </c>
      <c r="D70" s="86">
        <v>30</v>
      </c>
      <c r="E70" s="86">
        <v>10</v>
      </c>
      <c r="F70" s="114">
        <v>11.28</v>
      </c>
      <c r="G70" s="86">
        <f t="shared" si="26"/>
        <v>1.2799999999999994</v>
      </c>
      <c r="H70" s="276">
        <f t="shared" si="24"/>
        <v>1.128</v>
      </c>
      <c r="I70" s="87">
        <f t="shared" si="28"/>
        <v>-18.72</v>
      </c>
      <c r="J70" s="90">
        <f t="shared" si="25"/>
        <v>0.376</v>
      </c>
      <c r="K70" s="87"/>
      <c r="L70" s="87"/>
      <c r="M70" s="87"/>
      <c r="N70" s="87">
        <v>135.42</v>
      </c>
      <c r="O70" s="87">
        <f t="shared" si="29"/>
        <v>-105.41999999999999</v>
      </c>
      <c r="P70" s="90">
        <f t="shared" si="30"/>
        <v>0.22153300841825435</v>
      </c>
      <c r="Q70" s="87">
        <v>7.27</v>
      </c>
      <c r="R70" s="270">
        <f t="shared" si="5"/>
        <v>4.01</v>
      </c>
      <c r="S70" s="271">
        <f t="shared" si="31"/>
        <v>1.5515818431911967</v>
      </c>
      <c r="T70" s="88">
        <f t="shared" si="35"/>
        <v>10</v>
      </c>
      <c r="U70" s="118">
        <f t="shared" si="35"/>
        <v>11.28</v>
      </c>
      <c r="V70" s="89">
        <f t="shared" si="27"/>
        <v>1.2799999999999994</v>
      </c>
      <c r="W70" s="90">
        <f t="shared" si="34"/>
        <v>1.128</v>
      </c>
      <c r="X70" s="263">
        <f t="shared" si="20"/>
        <v>1.3300488347729424</v>
      </c>
    </row>
    <row r="71" spans="1:24" s="6" customFormat="1" ht="46.5">
      <c r="A71" s="8"/>
      <c r="B71" s="107" t="s">
        <v>17</v>
      </c>
      <c r="C71" s="11" t="s">
        <v>18</v>
      </c>
      <c r="D71" s="122">
        <v>0</v>
      </c>
      <c r="E71" s="122">
        <v>0</v>
      </c>
      <c r="F71" s="126">
        <v>0</v>
      </c>
      <c r="G71" s="122">
        <f t="shared" si="26"/>
        <v>0</v>
      </c>
      <c r="H71" s="280" t="e">
        <f t="shared" si="24"/>
        <v>#DIV/0!</v>
      </c>
      <c r="I71" s="135">
        <f t="shared" si="28"/>
        <v>0</v>
      </c>
      <c r="J71" s="179" t="e">
        <f t="shared" si="25"/>
        <v>#DIV/0!</v>
      </c>
      <c r="K71" s="135"/>
      <c r="L71" s="135"/>
      <c r="M71" s="135"/>
      <c r="N71" s="135">
        <v>2.04</v>
      </c>
      <c r="O71" s="135">
        <f t="shared" si="29"/>
        <v>-2.04</v>
      </c>
      <c r="P71" s="179">
        <f t="shared" si="30"/>
        <v>0</v>
      </c>
      <c r="Q71" s="135">
        <v>1.67</v>
      </c>
      <c r="R71" s="135">
        <f t="shared" si="5"/>
        <v>-1.67</v>
      </c>
      <c r="S71" s="179">
        <f t="shared" si="31"/>
        <v>0</v>
      </c>
      <c r="T71" s="127">
        <f t="shared" si="35"/>
        <v>0</v>
      </c>
      <c r="U71" s="130">
        <f t="shared" si="35"/>
        <v>0</v>
      </c>
      <c r="V71" s="131">
        <f t="shared" si="27"/>
        <v>0</v>
      </c>
      <c r="W71" s="179"/>
      <c r="X71" s="263">
        <f t="shared" si="20"/>
        <v>0</v>
      </c>
    </row>
    <row r="72" spans="1:24" s="6" customFormat="1" ht="15.75" customHeight="1">
      <c r="A72" s="8"/>
      <c r="B72" s="108" t="s">
        <v>13</v>
      </c>
      <c r="C72" s="11" t="s">
        <v>19</v>
      </c>
      <c r="D72" s="122">
        <v>1500</v>
      </c>
      <c r="E72" s="122">
        <v>500</v>
      </c>
      <c r="F72" s="126">
        <v>500.55</v>
      </c>
      <c r="G72" s="122">
        <f t="shared" si="26"/>
        <v>0.5500000000000114</v>
      </c>
      <c r="H72" s="280">
        <f t="shared" si="24"/>
        <v>1.0011</v>
      </c>
      <c r="I72" s="135">
        <f t="shared" si="28"/>
        <v>-999.45</v>
      </c>
      <c r="J72" s="179">
        <f t="shared" si="25"/>
        <v>0.3337</v>
      </c>
      <c r="K72" s="135"/>
      <c r="L72" s="135"/>
      <c r="M72" s="135"/>
      <c r="N72" s="135">
        <v>8086.92</v>
      </c>
      <c r="O72" s="135">
        <f t="shared" si="29"/>
        <v>-6586.92</v>
      </c>
      <c r="P72" s="179">
        <f t="shared" si="30"/>
        <v>0.18548470864061967</v>
      </c>
      <c r="Q72" s="135">
        <v>2247.33</v>
      </c>
      <c r="R72" s="135">
        <f t="shared" si="5"/>
        <v>-1746.78</v>
      </c>
      <c r="S72" s="179">
        <f t="shared" si="31"/>
        <v>0.2227309740892526</v>
      </c>
      <c r="T72" s="127">
        <f aca="true" t="shared" si="36" ref="T72:T78">E72</f>
        <v>500</v>
      </c>
      <c r="U72" s="130">
        <f aca="true" t="shared" si="37" ref="U72:U78">F72</f>
        <v>500.55</v>
      </c>
      <c r="V72" s="131">
        <f t="shared" si="27"/>
        <v>0.5500000000000114</v>
      </c>
      <c r="W72" s="179">
        <f t="shared" si="34"/>
        <v>1.0011</v>
      </c>
      <c r="X72" s="263">
        <f t="shared" si="20"/>
        <v>0.03724626544863294</v>
      </c>
    </row>
    <row r="73" spans="1:24" s="6" customFormat="1" ht="18" hidden="1">
      <c r="A73" s="8"/>
      <c r="B73" s="12" t="s">
        <v>22</v>
      </c>
      <c r="C73" s="55" t="s">
        <v>23</v>
      </c>
      <c r="D73" s="27">
        <v>0</v>
      </c>
      <c r="E73" s="27">
        <v>0</v>
      </c>
      <c r="F73" s="113">
        <v>0</v>
      </c>
      <c r="G73" s="122">
        <f t="shared" si="26"/>
        <v>0</v>
      </c>
      <c r="H73" s="280" t="e">
        <f>F73/E73*100</f>
        <v>#DIV/0!</v>
      </c>
      <c r="I73" s="135">
        <f t="shared" si="28"/>
        <v>0</v>
      </c>
      <c r="J73" s="179" t="e">
        <f>F73/D73*100</f>
        <v>#DIV/0!</v>
      </c>
      <c r="K73" s="135"/>
      <c r="L73" s="135"/>
      <c r="M73" s="135"/>
      <c r="N73" s="135"/>
      <c r="O73" s="135"/>
      <c r="P73" s="179"/>
      <c r="Q73" s="135">
        <v>0</v>
      </c>
      <c r="R73" s="135">
        <f t="shared" si="5"/>
        <v>0</v>
      </c>
      <c r="S73" s="179" t="e">
        <f t="shared" si="31"/>
        <v>#DIV/0!</v>
      </c>
      <c r="T73" s="127">
        <f t="shared" si="36"/>
        <v>0</v>
      </c>
      <c r="U73" s="130">
        <f t="shared" si="37"/>
        <v>0</v>
      </c>
      <c r="V73" s="131">
        <f t="shared" si="27"/>
        <v>0</v>
      </c>
      <c r="W73" s="179" t="e">
        <f t="shared" si="34"/>
        <v>#DIV/0!</v>
      </c>
      <c r="X73" s="263" t="e">
        <f t="shared" si="20"/>
        <v>#DIV/0!</v>
      </c>
    </row>
    <row r="74" spans="1:24" s="6" customFormat="1" ht="30.75" hidden="1">
      <c r="A74" s="8"/>
      <c r="B74" s="44" t="s">
        <v>40</v>
      </c>
      <c r="C74" s="55"/>
      <c r="D74" s="86"/>
      <c r="E74" s="86"/>
      <c r="F74" s="164">
        <v>0</v>
      </c>
      <c r="G74" s="203"/>
      <c r="H74" s="280"/>
      <c r="I74" s="204"/>
      <c r="J74" s="229"/>
      <c r="K74" s="204"/>
      <c r="L74" s="204"/>
      <c r="M74" s="204"/>
      <c r="N74" s="204">
        <v>1411.18</v>
      </c>
      <c r="O74" s="135"/>
      <c r="P74" s="179"/>
      <c r="Q74" s="136">
        <f>N74</f>
        <v>1411.18</v>
      </c>
      <c r="R74" s="204"/>
      <c r="S74" s="229">
        <f t="shared" si="31"/>
        <v>0</v>
      </c>
      <c r="T74" s="127">
        <f t="shared" si="36"/>
        <v>0</v>
      </c>
      <c r="U74" s="130">
        <f t="shared" si="37"/>
        <v>0</v>
      </c>
      <c r="V74" s="136">
        <f t="shared" si="27"/>
        <v>0</v>
      </c>
      <c r="W74" s="179"/>
      <c r="X74" s="263"/>
    </row>
    <row r="75" spans="1:24" s="6" customFormat="1" ht="18" hidden="1">
      <c r="A75" s="8"/>
      <c r="B75" s="108" t="s">
        <v>20</v>
      </c>
      <c r="C75" s="105" t="s">
        <v>21</v>
      </c>
      <c r="D75" s="30">
        <v>0</v>
      </c>
      <c r="E75" s="30">
        <v>0</v>
      </c>
      <c r="F75" s="115">
        <v>0</v>
      </c>
      <c r="G75" s="122">
        <f t="shared" si="26"/>
        <v>0</v>
      </c>
      <c r="H75" s="280" t="e">
        <f>F75/E75*100</f>
        <v>#DIV/0!</v>
      </c>
      <c r="I75" s="135">
        <f t="shared" si="28"/>
        <v>0</v>
      </c>
      <c r="J75" s="179" t="e">
        <f>F75/D75*100</f>
        <v>#DIV/0!</v>
      </c>
      <c r="K75" s="135"/>
      <c r="L75" s="135"/>
      <c r="M75" s="135"/>
      <c r="N75" s="135"/>
      <c r="O75" s="135"/>
      <c r="P75" s="179"/>
      <c r="Q75" s="136">
        <v>0</v>
      </c>
      <c r="R75" s="135">
        <f t="shared" si="5"/>
        <v>0</v>
      </c>
      <c r="S75" s="179" t="e">
        <f t="shared" si="31"/>
        <v>#DIV/0!</v>
      </c>
      <c r="T75" s="127">
        <f t="shared" si="36"/>
        <v>0</v>
      </c>
      <c r="U75" s="130">
        <f t="shared" si="37"/>
        <v>0</v>
      </c>
      <c r="V75" s="131">
        <f t="shared" si="27"/>
        <v>0</v>
      </c>
      <c r="W75" s="179" t="e">
        <f t="shared" si="34"/>
        <v>#DIV/0!</v>
      </c>
      <c r="X75" s="263" t="e">
        <f t="shared" si="20"/>
        <v>#DIV/0!</v>
      </c>
    </row>
    <row r="76" spans="1:24" s="6" customFormat="1" ht="44.25" customHeight="1">
      <c r="A76" s="8"/>
      <c r="B76" s="108" t="s">
        <v>41</v>
      </c>
      <c r="C76" s="37">
        <v>24061900</v>
      </c>
      <c r="D76" s="122">
        <v>10</v>
      </c>
      <c r="E76" s="122">
        <v>10</v>
      </c>
      <c r="F76" s="126">
        <v>0</v>
      </c>
      <c r="G76" s="122">
        <f t="shared" si="26"/>
        <v>-10</v>
      </c>
      <c r="H76" s="280">
        <f>F76/E76</f>
        <v>0</v>
      </c>
      <c r="I76" s="135">
        <f t="shared" si="28"/>
        <v>-10</v>
      </c>
      <c r="J76" s="179">
        <f>F76/D76</f>
        <v>0</v>
      </c>
      <c r="K76" s="135"/>
      <c r="L76" s="135"/>
      <c r="M76" s="135"/>
      <c r="N76" s="135">
        <v>142.18</v>
      </c>
      <c r="O76" s="135">
        <f>D76-N76</f>
        <v>-132.18</v>
      </c>
      <c r="P76" s="179">
        <f>D76/N76</f>
        <v>0.07033338022225348</v>
      </c>
      <c r="Q76" s="135">
        <v>32.89</v>
      </c>
      <c r="R76" s="135">
        <f t="shared" si="5"/>
        <v>-32.89</v>
      </c>
      <c r="S76" s="179">
        <f t="shared" si="31"/>
        <v>0</v>
      </c>
      <c r="T76" s="127">
        <f t="shared" si="36"/>
        <v>10</v>
      </c>
      <c r="U76" s="130">
        <f t="shared" si="37"/>
        <v>0</v>
      </c>
      <c r="V76" s="131">
        <f t="shared" si="27"/>
        <v>-10</v>
      </c>
      <c r="W76" s="179">
        <f t="shared" si="34"/>
        <v>0</v>
      </c>
      <c r="X76" s="263">
        <f t="shared" si="20"/>
        <v>-0.07033338022225348</v>
      </c>
    </row>
    <row r="77" spans="1:24" s="6" customFormat="1" ht="27.75" customHeight="1">
      <c r="A77" s="8"/>
      <c r="B77" s="108" t="s">
        <v>42</v>
      </c>
      <c r="C77" s="37">
        <v>31010200</v>
      </c>
      <c r="D77" s="122">
        <v>4.5</v>
      </c>
      <c r="E77" s="122">
        <v>1.5</v>
      </c>
      <c r="F77" s="126">
        <v>3.77</v>
      </c>
      <c r="G77" s="122">
        <f t="shared" si="26"/>
        <v>2.27</v>
      </c>
      <c r="H77" s="280">
        <f>F77/E77</f>
        <v>2.513333333333333</v>
      </c>
      <c r="I77" s="135">
        <f t="shared" si="28"/>
        <v>-0.73</v>
      </c>
      <c r="J77" s="179">
        <f>F77/D77</f>
        <v>0.8377777777777777</v>
      </c>
      <c r="K77" s="135"/>
      <c r="L77" s="135"/>
      <c r="M77" s="135"/>
      <c r="N77" s="135">
        <v>34.22</v>
      </c>
      <c r="O77" s="135">
        <f>D77-N77</f>
        <v>-29.72</v>
      </c>
      <c r="P77" s="179">
        <f>D77/N77</f>
        <v>0.1315020455873758</v>
      </c>
      <c r="Q77" s="135">
        <v>1.49</v>
      </c>
      <c r="R77" s="135">
        <f t="shared" si="5"/>
        <v>2.2800000000000002</v>
      </c>
      <c r="S77" s="179">
        <f t="shared" si="31"/>
        <v>2.530201342281879</v>
      </c>
      <c r="T77" s="127">
        <f t="shared" si="36"/>
        <v>1.5</v>
      </c>
      <c r="U77" s="130">
        <f t="shared" si="37"/>
        <v>3.77</v>
      </c>
      <c r="V77" s="131">
        <f t="shared" si="27"/>
        <v>2.27</v>
      </c>
      <c r="W77" s="179">
        <f t="shared" si="34"/>
        <v>2.513333333333333</v>
      </c>
      <c r="X77" s="263">
        <f t="shared" si="20"/>
        <v>2.3986992966945033</v>
      </c>
    </row>
    <row r="78" spans="1:24" s="6" customFormat="1" ht="30.75">
      <c r="A78" s="8"/>
      <c r="B78" s="108" t="s">
        <v>55</v>
      </c>
      <c r="C78" s="37">
        <v>31020000</v>
      </c>
      <c r="D78" s="122">
        <v>0</v>
      </c>
      <c r="E78" s="122">
        <f>D78</f>
        <v>0</v>
      </c>
      <c r="F78" s="126">
        <v>0</v>
      </c>
      <c r="G78" s="122">
        <f t="shared" si="26"/>
        <v>0</v>
      </c>
      <c r="H78" s="280" t="e">
        <f>F78/E78</f>
        <v>#DIV/0!</v>
      </c>
      <c r="I78" s="135">
        <f t="shared" si="28"/>
        <v>0</v>
      </c>
      <c r="J78" s="179"/>
      <c r="K78" s="135"/>
      <c r="L78" s="135"/>
      <c r="M78" s="135"/>
      <c r="N78" s="135">
        <v>-4.86</v>
      </c>
      <c r="O78" s="135">
        <f>D78-N78</f>
        <v>4.86</v>
      </c>
      <c r="P78" s="179">
        <f>D78/N78</f>
        <v>0</v>
      </c>
      <c r="Q78" s="135">
        <v>0</v>
      </c>
      <c r="R78" s="135">
        <f t="shared" si="5"/>
        <v>0</v>
      </c>
      <c r="S78" s="179" t="e">
        <f t="shared" si="31"/>
        <v>#DIV/0!</v>
      </c>
      <c r="T78" s="127">
        <f t="shared" si="36"/>
        <v>0</v>
      </c>
      <c r="U78" s="130">
        <f t="shared" si="37"/>
        <v>0</v>
      </c>
      <c r="V78" s="131">
        <f t="shared" si="27"/>
        <v>0</v>
      </c>
      <c r="W78" s="179"/>
      <c r="X78" s="263" t="e">
        <f t="shared" si="20"/>
        <v>#DIV/0!</v>
      </c>
    </row>
    <row r="79" spans="1:24" s="6" customFormat="1" ht="17.25">
      <c r="A79" s="9"/>
      <c r="B79" s="13" t="s">
        <v>124</v>
      </c>
      <c r="C79" s="56"/>
      <c r="D79" s="123">
        <f>D8+D53+D77+D78</f>
        <v>345493.75</v>
      </c>
      <c r="E79" s="123">
        <f>E8+E53+E77+E78</f>
        <v>109894.25</v>
      </c>
      <c r="F79" s="123">
        <f>F8+F53+F77+F78</f>
        <v>103682.67</v>
      </c>
      <c r="G79" s="123">
        <f>F79-E79</f>
        <v>-6211.580000000002</v>
      </c>
      <c r="H79" s="277">
        <f>F79/E79</f>
        <v>0.9434767515133867</v>
      </c>
      <c r="I79" s="124">
        <f>F79-D79</f>
        <v>-241811.08000000002</v>
      </c>
      <c r="J79" s="180">
        <f>F79/D79</f>
        <v>0.3000999873369634</v>
      </c>
      <c r="K79" s="124"/>
      <c r="L79" s="124"/>
      <c r="M79" s="124"/>
      <c r="N79" s="124">
        <v>1398996.46</v>
      </c>
      <c r="O79" s="124">
        <f>D79-N79</f>
        <v>-1053502.71</v>
      </c>
      <c r="P79" s="180">
        <f>D79/N79</f>
        <v>0.24695827321821814</v>
      </c>
      <c r="Q79" s="123">
        <v>98086.18</v>
      </c>
      <c r="R79" s="124">
        <f>F79-Q79</f>
        <v>5596.490000000005</v>
      </c>
      <c r="S79" s="180">
        <f>F79/Q79</f>
        <v>1.0570568657072792</v>
      </c>
      <c r="T79" s="123">
        <f>T8+T53+T77+T78</f>
        <v>109894.25</v>
      </c>
      <c r="U79" s="123">
        <f>U8+U53+U77+U78</f>
        <v>103682.67</v>
      </c>
      <c r="V79" s="158">
        <f>U79-T79</f>
        <v>-6211.580000000002</v>
      </c>
      <c r="W79" s="180">
        <f>U79/T79</f>
        <v>0.9434767515133867</v>
      </c>
      <c r="X79" s="263">
        <f t="shared" si="20"/>
        <v>0.810098592489061</v>
      </c>
    </row>
    <row r="80" spans="1:24" s="42" customFormat="1" ht="17.25" hidden="1">
      <c r="A80" s="39"/>
      <c r="B80" s="49"/>
      <c r="C80" s="57"/>
      <c r="D80" s="40"/>
      <c r="E80" s="40"/>
      <c r="F80" s="76"/>
      <c r="G80" s="71"/>
      <c r="H80" s="281"/>
      <c r="I80" s="48"/>
      <c r="J80" s="83"/>
      <c r="K80" s="31"/>
      <c r="L80" s="31"/>
      <c r="M80" s="31"/>
      <c r="N80" s="31"/>
      <c r="O80" s="31"/>
      <c r="P80" s="83"/>
      <c r="Q80" s="31"/>
      <c r="R80" s="31"/>
      <c r="S80" s="31"/>
      <c r="T80" s="41"/>
      <c r="U80" s="40"/>
      <c r="V80" s="73"/>
      <c r="W80" s="83"/>
      <c r="X80" s="263">
        <f t="shared" si="20"/>
        <v>0</v>
      </c>
    </row>
    <row r="81" spans="1:24" s="42" customFormat="1" ht="17.25" hidden="1">
      <c r="A81" s="39"/>
      <c r="B81" s="50"/>
      <c r="C81" s="57"/>
      <c r="D81" s="51"/>
      <c r="E81" s="40"/>
      <c r="F81" s="76"/>
      <c r="G81" s="35"/>
      <c r="H81" s="281"/>
      <c r="I81" s="52"/>
      <c r="J81" s="83"/>
      <c r="K81" s="31"/>
      <c r="L81" s="31"/>
      <c r="M81" s="31"/>
      <c r="N81" s="31"/>
      <c r="O81" s="31"/>
      <c r="P81" s="83"/>
      <c r="Q81" s="31"/>
      <c r="R81" s="31"/>
      <c r="S81" s="31"/>
      <c r="T81" s="26"/>
      <c r="U81" s="40"/>
      <c r="V81" s="53"/>
      <c r="W81" s="83"/>
      <c r="X81" s="263">
        <f t="shared" si="20"/>
        <v>0</v>
      </c>
    </row>
    <row r="82" spans="1:24" s="42" customFormat="1" ht="17.25" hidden="1">
      <c r="A82" s="39"/>
      <c r="B82" s="50"/>
      <c r="C82" s="57"/>
      <c r="D82" s="51"/>
      <c r="E82" s="30"/>
      <c r="F82" s="91"/>
      <c r="G82" s="35"/>
      <c r="H82" s="281"/>
      <c r="I82" s="52"/>
      <c r="J82" s="83"/>
      <c r="K82" s="31"/>
      <c r="L82" s="31"/>
      <c r="M82" s="31"/>
      <c r="N82" s="31"/>
      <c r="O82" s="31"/>
      <c r="P82" s="83"/>
      <c r="Q82" s="31"/>
      <c r="R82" s="31"/>
      <c r="S82" s="31"/>
      <c r="T82" s="26"/>
      <c r="U82" s="51"/>
      <c r="V82" s="73"/>
      <c r="W82" s="83"/>
      <c r="X82" s="263">
        <f t="shared" si="20"/>
        <v>0</v>
      </c>
    </row>
    <row r="83" spans="2:24" ht="15">
      <c r="B83" s="20" t="s">
        <v>100</v>
      </c>
      <c r="C83" s="58"/>
      <c r="D83" s="22"/>
      <c r="E83" s="22"/>
      <c r="F83" s="116"/>
      <c r="G83" s="30"/>
      <c r="H83" s="282"/>
      <c r="I83" s="34"/>
      <c r="J83" s="84"/>
      <c r="K83" s="34"/>
      <c r="L83" s="34"/>
      <c r="M83" s="34"/>
      <c r="N83" s="34"/>
      <c r="O83" s="34"/>
      <c r="P83" s="84"/>
      <c r="Q83" s="34"/>
      <c r="R83" s="34"/>
      <c r="S83" s="34"/>
      <c r="T83" s="27"/>
      <c r="U83" s="120"/>
      <c r="V83" s="32"/>
      <c r="W83" s="84"/>
      <c r="X83" s="263">
        <f t="shared" si="20"/>
        <v>0</v>
      </c>
    </row>
    <row r="84" spans="2:24" ht="25.5" customHeight="1" hidden="1">
      <c r="B84" s="191" t="s">
        <v>95</v>
      </c>
      <c r="C84" s="110">
        <v>12020000</v>
      </c>
      <c r="D84" s="145">
        <v>0</v>
      </c>
      <c r="E84" s="145"/>
      <c r="F84" s="146">
        <v>0.01</v>
      </c>
      <c r="G84" s="132"/>
      <c r="H84" s="280"/>
      <c r="I84" s="137"/>
      <c r="J84" s="171"/>
      <c r="K84" s="137"/>
      <c r="L84" s="137"/>
      <c r="M84" s="137"/>
      <c r="N84" s="137"/>
      <c r="O84" s="137"/>
      <c r="P84" s="171"/>
      <c r="Q84" s="137">
        <f>N84</f>
        <v>0</v>
      </c>
      <c r="R84" s="137">
        <f>F84-Q84</f>
        <v>0.01</v>
      </c>
      <c r="S84" s="171" t="e">
        <f>F84/Q84</f>
        <v>#DIV/0!</v>
      </c>
      <c r="T84" s="132">
        <f>E84</f>
        <v>0</v>
      </c>
      <c r="U84" s="130">
        <f>F84</f>
        <v>0.01</v>
      </c>
      <c r="V84" s="137"/>
      <c r="W84" s="171"/>
      <c r="X84" s="263" t="e">
        <f t="shared" si="20"/>
        <v>#DIV/0!</v>
      </c>
    </row>
    <row r="85" spans="2:24" ht="31.5">
      <c r="B85" s="21" t="s">
        <v>60</v>
      </c>
      <c r="C85" s="67">
        <v>18041500</v>
      </c>
      <c r="D85" s="145">
        <v>0</v>
      </c>
      <c r="E85" s="145">
        <v>0</v>
      </c>
      <c r="F85" s="146">
        <v>0</v>
      </c>
      <c r="G85" s="132">
        <f>F85-E85</f>
        <v>0</v>
      </c>
      <c r="H85" s="280"/>
      <c r="I85" s="137">
        <f>F85-D85</f>
        <v>0</v>
      </c>
      <c r="J85" s="171"/>
      <c r="K85" s="137"/>
      <c r="L85" s="137"/>
      <c r="M85" s="137"/>
      <c r="N85" s="137">
        <v>-2.64</v>
      </c>
      <c r="O85" s="137">
        <f>D85-N85</f>
        <v>2.64</v>
      </c>
      <c r="P85" s="171">
        <f>D85/N85</f>
        <v>0</v>
      </c>
      <c r="Q85" s="137">
        <v>0</v>
      </c>
      <c r="R85" s="137">
        <f>F85-Q85</f>
        <v>0</v>
      </c>
      <c r="S85" s="171" t="e">
        <f>F85/Q85</f>
        <v>#DIV/0!</v>
      </c>
      <c r="T85" s="132">
        <f>E85</f>
        <v>0</v>
      </c>
      <c r="U85" s="130">
        <f>F85</f>
        <v>0</v>
      </c>
      <c r="V85" s="137">
        <f>U85-T85</f>
        <v>0</v>
      </c>
      <c r="W85" s="171"/>
      <c r="X85" s="263" t="e">
        <f t="shared" si="20"/>
        <v>#DIV/0!</v>
      </c>
    </row>
    <row r="86" spans="2:24" ht="17.25">
      <c r="B86" s="24" t="s">
        <v>43</v>
      </c>
      <c r="C86" s="68"/>
      <c r="D86" s="147">
        <f>D85</f>
        <v>0</v>
      </c>
      <c r="E86" s="147">
        <f>E85</f>
        <v>0</v>
      </c>
      <c r="F86" s="148">
        <f>SUM(F84:F85)</f>
        <v>0.01</v>
      </c>
      <c r="G86" s="149">
        <f>F86-E86</f>
        <v>0.01</v>
      </c>
      <c r="H86" s="283"/>
      <c r="I86" s="151">
        <f>F86-D86</f>
        <v>0.01</v>
      </c>
      <c r="J86" s="175"/>
      <c r="K86" s="151"/>
      <c r="L86" s="151"/>
      <c r="M86" s="151"/>
      <c r="N86" s="151">
        <v>-2.64</v>
      </c>
      <c r="O86" s="151">
        <f>D86-N86</f>
        <v>2.64</v>
      </c>
      <c r="P86" s="175">
        <f>D86/N86</f>
        <v>0</v>
      </c>
      <c r="Q86" s="151">
        <v>0</v>
      </c>
      <c r="R86" s="151">
        <f aca="true" t="shared" si="38" ref="R86:R98">F86-Q86</f>
        <v>0.01</v>
      </c>
      <c r="S86" s="175" t="e">
        <f aca="true" t="shared" si="39" ref="S86:S101">F86/Q86</f>
        <v>#DIV/0!</v>
      </c>
      <c r="T86" s="149">
        <f>SUM(T84:T85)</f>
        <v>0</v>
      </c>
      <c r="U86" s="152">
        <f>SUM(U84:U85)</f>
        <v>0.01</v>
      </c>
      <c r="V86" s="151">
        <f>U86-T86</f>
        <v>0.01</v>
      </c>
      <c r="W86" s="175"/>
      <c r="X86" s="263" t="e">
        <f t="shared" si="20"/>
        <v>#DIV/0!</v>
      </c>
    </row>
    <row r="87" spans="2:24" ht="45.75">
      <c r="B87" s="24" t="s">
        <v>35</v>
      </c>
      <c r="C87" s="110">
        <v>21110000</v>
      </c>
      <c r="D87" s="147">
        <v>0</v>
      </c>
      <c r="E87" s="147">
        <v>0</v>
      </c>
      <c r="F87" s="148">
        <v>0</v>
      </c>
      <c r="G87" s="149">
        <f aca="true" t="shared" si="40" ref="G87:G98">F87-E87</f>
        <v>0</v>
      </c>
      <c r="H87" s="283"/>
      <c r="I87" s="151">
        <f>F87-D87</f>
        <v>0</v>
      </c>
      <c r="J87" s="175"/>
      <c r="K87" s="151"/>
      <c r="L87" s="151"/>
      <c r="M87" s="151"/>
      <c r="N87" s="151">
        <v>35.57</v>
      </c>
      <c r="O87" s="151">
        <f aca="true" t="shared" si="41" ref="O87:O98">D87-N87</f>
        <v>-35.57</v>
      </c>
      <c r="P87" s="175">
        <f aca="true" t="shared" si="42" ref="P87:P98">D87/N87</f>
        <v>0</v>
      </c>
      <c r="Q87" s="151">
        <v>11.81</v>
      </c>
      <c r="R87" s="151">
        <f t="shared" si="38"/>
        <v>-11.81</v>
      </c>
      <c r="S87" s="171"/>
      <c r="T87" s="150">
        <f aca="true" t="shared" si="43" ref="T87:U91">E87</f>
        <v>0</v>
      </c>
      <c r="U87" s="221">
        <f t="shared" si="43"/>
        <v>0</v>
      </c>
      <c r="V87" s="151">
        <f aca="true" t="shared" si="44" ref="V87:V98">U87-T87</f>
        <v>0</v>
      </c>
      <c r="W87" s="175"/>
      <c r="X87" s="263"/>
    </row>
    <row r="88" spans="2:24" ht="31.5">
      <c r="B88" s="21" t="s">
        <v>28</v>
      </c>
      <c r="C88" s="67">
        <v>31030000</v>
      </c>
      <c r="D88" s="145">
        <v>0</v>
      </c>
      <c r="E88" s="145">
        <v>0</v>
      </c>
      <c r="F88" s="146">
        <v>806.43</v>
      </c>
      <c r="G88" s="132">
        <f t="shared" si="40"/>
        <v>806.43</v>
      </c>
      <c r="H88" s="280" t="e">
        <f>F88/E88</f>
        <v>#DIV/0!</v>
      </c>
      <c r="I88" s="137">
        <f>F88-D88</f>
        <v>806.43</v>
      </c>
      <c r="J88" s="171" t="e">
        <f>F88/D88</f>
        <v>#DIV/0!</v>
      </c>
      <c r="K88" s="137"/>
      <c r="L88" s="137"/>
      <c r="M88" s="137"/>
      <c r="N88" s="137">
        <v>938.14</v>
      </c>
      <c r="O88" s="137">
        <f t="shared" si="41"/>
        <v>-938.14</v>
      </c>
      <c r="P88" s="171">
        <f t="shared" si="42"/>
        <v>0</v>
      </c>
      <c r="Q88" s="137">
        <v>0.04</v>
      </c>
      <c r="R88" s="137">
        <f t="shared" si="38"/>
        <v>806.39</v>
      </c>
      <c r="S88" s="171">
        <f t="shared" si="39"/>
        <v>20160.75</v>
      </c>
      <c r="T88" s="127">
        <f t="shared" si="43"/>
        <v>0</v>
      </c>
      <c r="U88" s="130">
        <f t="shared" si="43"/>
        <v>806.43</v>
      </c>
      <c r="V88" s="137">
        <f t="shared" si="44"/>
        <v>806.43</v>
      </c>
      <c r="W88" s="171" t="e">
        <f>U88/T88</f>
        <v>#DIV/0!</v>
      </c>
      <c r="X88" s="263">
        <f t="shared" si="20"/>
        <v>20160.75</v>
      </c>
    </row>
    <row r="89" spans="2:24" ht="18">
      <c r="B89" s="21" t="s">
        <v>29</v>
      </c>
      <c r="C89" s="67">
        <v>33010000</v>
      </c>
      <c r="D89" s="145">
        <v>0</v>
      </c>
      <c r="E89" s="145">
        <v>0</v>
      </c>
      <c r="F89" s="146">
        <v>15</v>
      </c>
      <c r="G89" s="132">
        <f t="shared" si="40"/>
        <v>15</v>
      </c>
      <c r="H89" s="280" t="e">
        <f>F89/E89</f>
        <v>#DIV/0!</v>
      </c>
      <c r="I89" s="137">
        <f aca="true" t="shared" si="45" ref="I89:I98">F89-D89</f>
        <v>15</v>
      </c>
      <c r="J89" s="171" t="e">
        <f>F89/D89</f>
        <v>#DIV/0!</v>
      </c>
      <c r="K89" s="137"/>
      <c r="L89" s="137"/>
      <c r="M89" s="137"/>
      <c r="N89" s="137">
        <v>8143.65</v>
      </c>
      <c r="O89" s="137">
        <f t="shared" si="41"/>
        <v>-8143.65</v>
      </c>
      <c r="P89" s="171">
        <f t="shared" si="42"/>
        <v>0</v>
      </c>
      <c r="Q89" s="137">
        <v>1.9</v>
      </c>
      <c r="R89" s="137">
        <f t="shared" si="38"/>
        <v>13.1</v>
      </c>
      <c r="S89" s="171">
        <f t="shared" si="39"/>
        <v>7.894736842105264</v>
      </c>
      <c r="T89" s="127">
        <f t="shared" si="43"/>
        <v>0</v>
      </c>
      <c r="U89" s="130">
        <f t="shared" si="43"/>
        <v>15</v>
      </c>
      <c r="V89" s="137">
        <f t="shared" si="44"/>
        <v>15</v>
      </c>
      <c r="W89" s="171" t="e">
        <f>U89/T89</f>
        <v>#DIV/0!</v>
      </c>
      <c r="X89" s="263">
        <f t="shared" si="20"/>
        <v>7.894736842105264</v>
      </c>
    </row>
    <row r="90" spans="2:24" ht="31.5">
      <c r="B90" s="21" t="s">
        <v>52</v>
      </c>
      <c r="C90" s="67">
        <v>24170000</v>
      </c>
      <c r="D90" s="145">
        <v>0</v>
      </c>
      <c r="E90" s="145">
        <v>0</v>
      </c>
      <c r="F90" s="146">
        <v>157.01</v>
      </c>
      <c r="G90" s="132">
        <f t="shared" si="40"/>
        <v>157.01</v>
      </c>
      <c r="H90" s="280" t="e">
        <f>F90/E90</f>
        <v>#DIV/0!</v>
      </c>
      <c r="I90" s="137">
        <f t="shared" si="45"/>
        <v>157.01</v>
      </c>
      <c r="J90" s="171" t="e">
        <f>F90/D90</f>
        <v>#DIV/0!</v>
      </c>
      <c r="K90" s="137"/>
      <c r="L90" s="137"/>
      <c r="M90" s="137"/>
      <c r="N90" s="137">
        <v>17305.88</v>
      </c>
      <c r="O90" s="137">
        <f t="shared" si="41"/>
        <v>-17305.88</v>
      </c>
      <c r="P90" s="171">
        <f t="shared" si="42"/>
        <v>0</v>
      </c>
      <c r="Q90" s="137">
        <v>90.12</v>
      </c>
      <c r="R90" s="137">
        <f t="shared" si="38"/>
        <v>66.88999999999999</v>
      </c>
      <c r="S90" s="171">
        <f t="shared" si="39"/>
        <v>1.7422325787838435</v>
      </c>
      <c r="T90" s="127">
        <f t="shared" si="43"/>
        <v>0</v>
      </c>
      <c r="U90" s="130">
        <f t="shared" si="43"/>
        <v>157.01</v>
      </c>
      <c r="V90" s="137">
        <f t="shared" si="44"/>
        <v>157.01</v>
      </c>
      <c r="W90" s="171" t="e">
        <f>U90/T90</f>
        <v>#DIV/0!</v>
      </c>
      <c r="X90" s="263">
        <f t="shared" si="20"/>
        <v>1.7422325787838435</v>
      </c>
    </row>
    <row r="91" spans="2:24" ht="18">
      <c r="B91" s="21" t="s">
        <v>96</v>
      </c>
      <c r="C91" s="67">
        <v>24110700</v>
      </c>
      <c r="D91" s="145">
        <v>0</v>
      </c>
      <c r="E91" s="145">
        <v>0</v>
      </c>
      <c r="F91" s="146">
        <v>1</v>
      </c>
      <c r="G91" s="132">
        <f t="shared" si="40"/>
        <v>1</v>
      </c>
      <c r="H91" s="280" t="e">
        <f>F91/E91</f>
        <v>#DIV/0!</v>
      </c>
      <c r="I91" s="137">
        <f t="shared" si="45"/>
        <v>1</v>
      </c>
      <c r="J91" s="171" t="e">
        <f>F91/D91</f>
        <v>#DIV/0!</v>
      </c>
      <c r="K91" s="137"/>
      <c r="L91" s="137"/>
      <c r="M91" s="137"/>
      <c r="N91" s="137">
        <v>20</v>
      </c>
      <c r="O91" s="137">
        <f t="shared" si="41"/>
        <v>-20</v>
      </c>
      <c r="P91" s="171">
        <f t="shared" si="42"/>
        <v>0</v>
      </c>
      <c r="Q91" s="137">
        <v>1</v>
      </c>
      <c r="R91" s="137">
        <f t="shared" si="38"/>
        <v>0</v>
      </c>
      <c r="S91" s="171">
        <f t="shared" si="39"/>
        <v>1</v>
      </c>
      <c r="T91" s="127">
        <f t="shared" si="43"/>
        <v>0</v>
      </c>
      <c r="U91" s="130">
        <f t="shared" si="43"/>
        <v>1</v>
      </c>
      <c r="V91" s="137">
        <f t="shared" si="44"/>
        <v>1</v>
      </c>
      <c r="W91" s="171" t="e">
        <f>U91/T91</f>
        <v>#DIV/0!</v>
      </c>
      <c r="X91" s="263">
        <f t="shared" si="20"/>
        <v>1</v>
      </c>
    </row>
    <row r="92" spans="2:24" ht="33">
      <c r="B92" s="24" t="s">
        <v>49</v>
      </c>
      <c r="C92" s="59"/>
      <c r="D92" s="147">
        <f>D88+D89+D90+D91</f>
        <v>0</v>
      </c>
      <c r="E92" s="147">
        <f>E88+E89+E90+E91</f>
        <v>0</v>
      </c>
      <c r="F92" s="148">
        <f>F88+F89+F90+F91</f>
        <v>979.4399999999999</v>
      </c>
      <c r="G92" s="149">
        <f t="shared" si="40"/>
        <v>979.4399999999999</v>
      </c>
      <c r="H92" s="283" t="e">
        <f>F92/E92</f>
        <v>#DIV/0!</v>
      </c>
      <c r="I92" s="151">
        <f t="shared" si="45"/>
        <v>979.4399999999999</v>
      </c>
      <c r="J92" s="175" t="e">
        <f>F92/D92</f>
        <v>#DIV/0!</v>
      </c>
      <c r="K92" s="151"/>
      <c r="L92" s="151"/>
      <c r="M92" s="151"/>
      <c r="N92" s="151">
        <v>26407.66</v>
      </c>
      <c r="O92" s="151">
        <f t="shared" si="41"/>
        <v>-26407.66</v>
      </c>
      <c r="P92" s="175">
        <f t="shared" si="42"/>
        <v>0</v>
      </c>
      <c r="Q92" s="151">
        <v>93.06</v>
      </c>
      <c r="R92" s="137">
        <f t="shared" si="38"/>
        <v>886.3799999999999</v>
      </c>
      <c r="S92" s="171">
        <f t="shared" si="39"/>
        <v>10.52482269503546</v>
      </c>
      <c r="T92" s="149">
        <f>T88+T89+T90+T91</f>
        <v>0</v>
      </c>
      <c r="U92" s="153">
        <f>U88+U89+U90+U91</f>
        <v>979.4399999999999</v>
      </c>
      <c r="V92" s="151">
        <f t="shared" si="44"/>
        <v>979.4399999999999</v>
      </c>
      <c r="W92" s="175" t="e">
        <f>U92/T92</f>
        <v>#DIV/0!</v>
      </c>
      <c r="X92" s="263">
        <f t="shared" si="20"/>
        <v>10.52482269503546</v>
      </c>
    </row>
    <row r="93" spans="2:24" ht="46.5">
      <c r="B93" s="12" t="s">
        <v>38</v>
      </c>
      <c r="C93" s="69">
        <v>24062100</v>
      </c>
      <c r="D93" s="145">
        <v>0</v>
      </c>
      <c r="E93" s="145">
        <v>0</v>
      </c>
      <c r="F93" s="146">
        <v>0.01</v>
      </c>
      <c r="G93" s="132">
        <f t="shared" si="40"/>
        <v>0.01</v>
      </c>
      <c r="H93" s="280"/>
      <c r="I93" s="137">
        <f t="shared" si="45"/>
        <v>0.01</v>
      </c>
      <c r="J93" s="171"/>
      <c r="K93" s="137"/>
      <c r="L93" s="137"/>
      <c r="M93" s="137"/>
      <c r="N93" s="137">
        <v>49.17</v>
      </c>
      <c r="O93" s="137">
        <f t="shared" si="41"/>
        <v>-49.17</v>
      </c>
      <c r="P93" s="171">
        <f t="shared" si="42"/>
        <v>0</v>
      </c>
      <c r="Q93" s="137">
        <v>0</v>
      </c>
      <c r="R93" s="137">
        <f t="shared" si="38"/>
        <v>0.01</v>
      </c>
      <c r="S93" s="171" t="e">
        <f t="shared" si="39"/>
        <v>#DIV/0!</v>
      </c>
      <c r="T93" s="127">
        <f aca="true" t="shared" si="46" ref="T93:U96">E93</f>
        <v>0</v>
      </c>
      <c r="U93" s="130">
        <f t="shared" si="46"/>
        <v>0.01</v>
      </c>
      <c r="V93" s="137">
        <f t="shared" si="44"/>
        <v>0.01</v>
      </c>
      <c r="W93" s="171"/>
      <c r="X93" s="263" t="e">
        <f t="shared" si="20"/>
        <v>#DIV/0!</v>
      </c>
    </row>
    <row r="94" spans="2:24" ht="18" hidden="1">
      <c r="B94" s="192" t="s">
        <v>50</v>
      </c>
      <c r="C94" s="67">
        <v>24061600</v>
      </c>
      <c r="D94" s="145">
        <v>0</v>
      </c>
      <c r="E94" s="145">
        <f>D94</f>
        <v>0</v>
      </c>
      <c r="F94" s="146">
        <v>0</v>
      </c>
      <c r="G94" s="132">
        <f t="shared" si="40"/>
        <v>0</v>
      </c>
      <c r="H94" s="280"/>
      <c r="I94" s="137">
        <f t="shared" si="45"/>
        <v>0</v>
      </c>
      <c r="J94" s="291"/>
      <c r="K94" s="154"/>
      <c r="L94" s="154"/>
      <c r="M94" s="154"/>
      <c r="N94" s="154"/>
      <c r="O94" s="137">
        <f t="shared" si="41"/>
        <v>0</v>
      </c>
      <c r="P94" s="171" t="e">
        <f t="shared" si="42"/>
        <v>#DIV/0!</v>
      </c>
      <c r="Q94" s="137">
        <f>N94</f>
        <v>0</v>
      </c>
      <c r="R94" s="137">
        <f t="shared" si="38"/>
        <v>0</v>
      </c>
      <c r="S94" s="171" t="e">
        <f t="shared" si="39"/>
        <v>#DIV/0!</v>
      </c>
      <c r="T94" s="127">
        <f t="shared" si="46"/>
        <v>0</v>
      </c>
      <c r="U94" s="130">
        <f t="shared" si="46"/>
        <v>0</v>
      </c>
      <c r="V94" s="137">
        <f t="shared" si="44"/>
        <v>0</v>
      </c>
      <c r="W94" s="291"/>
      <c r="X94" s="263" t="e">
        <f t="shared" si="20"/>
        <v>#DIV/0!</v>
      </c>
    </row>
    <row r="95" spans="2:24" ht="18">
      <c r="B95" s="21" t="s">
        <v>44</v>
      </c>
      <c r="C95" s="67">
        <v>19010000</v>
      </c>
      <c r="D95" s="145">
        <v>2277.26</v>
      </c>
      <c r="E95" s="145">
        <v>759.085</v>
      </c>
      <c r="F95" s="146">
        <v>462.73</v>
      </c>
      <c r="G95" s="132">
        <f t="shared" si="40"/>
        <v>-296.355</v>
      </c>
      <c r="H95" s="280">
        <f>F95/E95</f>
        <v>0.6095891764426908</v>
      </c>
      <c r="I95" s="137">
        <f t="shared" si="45"/>
        <v>-1814.5300000000002</v>
      </c>
      <c r="J95" s="171">
        <f>F95/D95</f>
        <v>0.20319594600528704</v>
      </c>
      <c r="K95" s="137"/>
      <c r="L95" s="137"/>
      <c r="M95" s="137"/>
      <c r="N95" s="137">
        <v>8033.94</v>
      </c>
      <c r="O95" s="137">
        <f t="shared" si="41"/>
        <v>-5756.679999999999</v>
      </c>
      <c r="P95" s="171">
        <f t="shared" si="42"/>
        <v>0.28345494240683905</v>
      </c>
      <c r="Q95" s="137">
        <v>11.48</v>
      </c>
      <c r="R95" s="137">
        <f t="shared" si="38"/>
        <v>451.25</v>
      </c>
      <c r="S95" s="171">
        <f t="shared" si="39"/>
        <v>40.30749128919861</v>
      </c>
      <c r="T95" s="127">
        <f t="shared" si="46"/>
        <v>759.085</v>
      </c>
      <c r="U95" s="130">
        <f t="shared" si="46"/>
        <v>462.73</v>
      </c>
      <c r="V95" s="137">
        <f t="shared" si="44"/>
        <v>-296.355</v>
      </c>
      <c r="W95" s="171">
        <f>U95/T95</f>
        <v>0.6095891764426908</v>
      </c>
      <c r="X95" s="263">
        <f t="shared" si="20"/>
        <v>40.02403634679177</v>
      </c>
    </row>
    <row r="96" spans="2:24" ht="31.5">
      <c r="B96" s="21" t="s">
        <v>48</v>
      </c>
      <c r="C96" s="67">
        <v>19050000</v>
      </c>
      <c r="D96" s="145">
        <v>0</v>
      </c>
      <c r="E96" s="145">
        <v>0</v>
      </c>
      <c r="F96" s="146">
        <v>0</v>
      </c>
      <c r="G96" s="132">
        <f t="shared" si="40"/>
        <v>0</v>
      </c>
      <c r="H96" s="280"/>
      <c r="I96" s="137">
        <f t="shared" si="45"/>
        <v>0</v>
      </c>
      <c r="J96" s="171"/>
      <c r="K96" s="137"/>
      <c r="L96" s="137"/>
      <c r="M96" s="137"/>
      <c r="N96" s="137">
        <v>0.1</v>
      </c>
      <c r="O96" s="137">
        <f t="shared" si="41"/>
        <v>-0.1</v>
      </c>
      <c r="P96" s="171">
        <f t="shared" si="42"/>
        <v>0</v>
      </c>
      <c r="Q96" s="137">
        <v>0</v>
      </c>
      <c r="R96" s="137">
        <f t="shared" si="38"/>
        <v>0</v>
      </c>
      <c r="S96" s="171" t="e">
        <f t="shared" si="39"/>
        <v>#DIV/0!</v>
      </c>
      <c r="T96" s="127">
        <f t="shared" si="46"/>
        <v>0</v>
      </c>
      <c r="U96" s="130">
        <f t="shared" si="46"/>
        <v>0</v>
      </c>
      <c r="V96" s="137">
        <f t="shared" si="44"/>
        <v>0</v>
      </c>
      <c r="W96" s="291"/>
      <c r="X96" s="263" t="e">
        <f t="shared" si="20"/>
        <v>#DIV/0!</v>
      </c>
    </row>
    <row r="97" spans="2:24" ht="30.75">
      <c r="B97" s="24" t="s">
        <v>45</v>
      </c>
      <c r="C97" s="67"/>
      <c r="D97" s="147">
        <f>D93+D96+D94+D95</f>
        <v>2277.26</v>
      </c>
      <c r="E97" s="147">
        <f>E93+E96+E94+E95</f>
        <v>759.085</v>
      </c>
      <c r="F97" s="148">
        <f>F93+F96+F94+F95</f>
        <v>462.74</v>
      </c>
      <c r="G97" s="149">
        <f t="shared" si="40"/>
        <v>-296.345</v>
      </c>
      <c r="H97" s="283">
        <f>F97/E97</f>
        <v>0.6096023501979356</v>
      </c>
      <c r="I97" s="151">
        <f t="shared" si="45"/>
        <v>-1814.5200000000002</v>
      </c>
      <c r="J97" s="175">
        <f>F97/D97</f>
        <v>0.20320033724739378</v>
      </c>
      <c r="K97" s="151"/>
      <c r="L97" s="151"/>
      <c r="M97" s="151"/>
      <c r="N97" s="151">
        <v>8083.21</v>
      </c>
      <c r="O97" s="151">
        <f t="shared" si="41"/>
        <v>-5805.95</v>
      </c>
      <c r="P97" s="175">
        <f t="shared" si="42"/>
        <v>0.2817271851158142</v>
      </c>
      <c r="Q97" s="151">
        <v>11.82</v>
      </c>
      <c r="R97" s="137">
        <f t="shared" si="38"/>
        <v>450.92</v>
      </c>
      <c r="S97" s="171">
        <f t="shared" si="39"/>
        <v>39.14890016920474</v>
      </c>
      <c r="T97" s="149">
        <f>T93+T96+T94+T95</f>
        <v>759.085</v>
      </c>
      <c r="U97" s="153">
        <f>U93+U96+U94+U95</f>
        <v>462.74</v>
      </c>
      <c r="V97" s="151">
        <f t="shared" si="44"/>
        <v>-296.345</v>
      </c>
      <c r="W97" s="175">
        <f>U97/T97</f>
        <v>0.6096023501979356</v>
      </c>
      <c r="X97" s="263">
        <f t="shared" si="20"/>
        <v>38.867172984088924</v>
      </c>
    </row>
    <row r="98" spans="2:24" ht="30.75">
      <c r="B98" s="12" t="s">
        <v>39</v>
      </c>
      <c r="C98" s="37">
        <v>24110900</v>
      </c>
      <c r="D98" s="145">
        <v>0</v>
      </c>
      <c r="E98" s="145">
        <v>0</v>
      </c>
      <c r="F98" s="146">
        <v>1.7</v>
      </c>
      <c r="G98" s="132">
        <f t="shared" si="40"/>
        <v>1.7</v>
      </c>
      <c r="H98" s="280" t="e">
        <f>F98/E98</f>
        <v>#DIV/0!</v>
      </c>
      <c r="I98" s="137">
        <f t="shared" si="45"/>
        <v>1.7</v>
      </c>
      <c r="J98" s="171" t="e">
        <f>F98/D98</f>
        <v>#DIV/0!</v>
      </c>
      <c r="K98" s="137"/>
      <c r="L98" s="137"/>
      <c r="M98" s="137"/>
      <c r="N98" s="137">
        <v>37.96</v>
      </c>
      <c r="O98" s="137">
        <f t="shared" si="41"/>
        <v>-37.96</v>
      </c>
      <c r="P98" s="171">
        <f t="shared" si="42"/>
        <v>0</v>
      </c>
      <c r="Q98" s="151">
        <v>0.34</v>
      </c>
      <c r="R98" s="137">
        <f t="shared" si="38"/>
        <v>1.3599999999999999</v>
      </c>
      <c r="S98" s="171">
        <f t="shared" si="39"/>
        <v>4.999999999999999</v>
      </c>
      <c r="T98" s="127">
        <f>E98</f>
        <v>0</v>
      </c>
      <c r="U98" s="130">
        <f>F98</f>
        <v>1.7</v>
      </c>
      <c r="V98" s="137">
        <f t="shared" si="44"/>
        <v>1.7</v>
      </c>
      <c r="W98" s="171" t="e">
        <f>U98/T98</f>
        <v>#DIV/0!</v>
      </c>
      <c r="X98" s="263">
        <f t="shared" si="20"/>
        <v>4.999999999999999</v>
      </c>
    </row>
    <row r="99" spans="2:24" ht="18" hidden="1">
      <c r="B99" s="99"/>
      <c r="C99" s="37">
        <v>21110000</v>
      </c>
      <c r="D99" s="145">
        <v>0</v>
      </c>
      <c r="E99" s="145">
        <v>0</v>
      </c>
      <c r="F99" s="146"/>
      <c r="G99" s="132" t="e">
        <f>#N/A</f>
        <v>#N/A</v>
      </c>
      <c r="H99" s="280"/>
      <c r="I99" s="137" t="e">
        <f>#N/A</f>
        <v>#N/A</v>
      </c>
      <c r="J99" s="171"/>
      <c r="K99" s="137"/>
      <c r="L99" s="137"/>
      <c r="M99" s="137"/>
      <c r="N99" s="137"/>
      <c r="O99" s="137"/>
      <c r="P99" s="171"/>
      <c r="Q99" s="137">
        <v>18.76</v>
      </c>
      <c r="R99" s="151" t="e">
        <f>#N/A</f>
        <v>#N/A</v>
      </c>
      <c r="S99" s="171">
        <f t="shared" si="39"/>
        <v>0</v>
      </c>
      <c r="T99" s="134" t="e">
        <f>E99-#REF!</f>
        <v>#REF!</v>
      </c>
      <c r="U99" s="138" t="e">
        <f>F99-#REF!</f>
        <v>#REF!</v>
      </c>
      <c r="V99" s="137" t="e">
        <f>#N/A</f>
        <v>#N/A</v>
      </c>
      <c r="W99" s="171"/>
      <c r="X99" s="263">
        <f t="shared" si="20"/>
        <v>0</v>
      </c>
    </row>
    <row r="100" spans="2:24" ht="23.25" customHeight="1">
      <c r="B100" s="230" t="s">
        <v>30</v>
      </c>
      <c r="C100" s="231"/>
      <c r="D100" s="232">
        <f>D86+D87+D92+D97+D98</f>
        <v>2277.26</v>
      </c>
      <c r="E100" s="232">
        <f>E86+E87+E92+E97+E98</f>
        <v>759.085</v>
      </c>
      <c r="F100" s="232">
        <f>F86+F87+F92+F97+F98</f>
        <v>1443.89</v>
      </c>
      <c r="G100" s="233">
        <f>F100-E100</f>
        <v>684.8050000000001</v>
      </c>
      <c r="H100" s="284">
        <f>F100/E100</f>
        <v>1.902145346041616</v>
      </c>
      <c r="I100" s="226">
        <f>F100-D100</f>
        <v>-833.3700000000001</v>
      </c>
      <c r="J100" s="227">
        <f>F100/D100</f>
        <v>0.6340470565504158</v>
      </c>
      <c r="K100" s="226"/>
      <c r="L100" s="226"/>
      <c r="M100" s="226"/>
      <c r="N100" s="226">
        <v>34561.77</v>
      </c>
      <c r="O100" s="226">
        <f>D100-N100</f>
        <v>-32284.509999999995</v>
      </c>
      <c r="P100" s="227">
        <f>D100/N100</f>
        <v>0.06588956526242726</v>
      </c>
      <c r="Q100" s="232">
        <v>117.03</v>
      </c>
      <c r="R100" s="226">
        <f>F100-Q100</f>
        <v>1326.8600000000001</v>
      </c>
      <c r="S100" s="227">
        <f t="shared" si="39"/>
        <v>12.33777663846877</v>
      </c>
      <c r="T100" s="232">
        <f>T86+T87+T92+T97+T98</f>
        <v>759.085</v>
      </c>
      <c r="U100" s="232">
        <f>U86+U87+U92+U97+U98</f>
        <v>1443.89</v>
      </c>
      <c r="V100" s="226">
        <f>U100-T100</f>
        <v>684.8050000000001</v>
      </c>
      <c r="W100" s="227">
        <f>U100/T100</f>
        <v>1.902145346041616</v>
      </c>
      <c r="X100" s="263">
        <f>S100-P100</f>
        <v>12.271887073206342</v>
      </c>
    </row>
    <row r="101" spans="2:24" ht="17.25">
      <c r="B101" s="234" t="s">
        <v>122</v>
      </c>
      <c r="C101" s="231"/>
      <c r="D101" s="232">
        <f>D79+D100</f>
        <v>347771.01</v>
      </c>
      <c r="E101" s="232">
        <f>E79+E100</f>
        <v>110653.335</v>
      </c>
      <c r="F101" s="232">
        <f>F79+F100</f>
        <v>105126.56</v>
      </c>
      <c r="G101" s="233">
        <f>F101-E101</f>
        <v>-5526.775000000009</v>
      </c>
      <c r="H101" s="284">
        <f>F101/E101</f>
        <v>0.950053245119092</v>
      </c>
      <c r="I101" s="226">
        <f>F101-D101</f>
        <v>-242644.45</v>
      </c>
      <c r="J101" s="227">
        <f>F101/D101</f>
        <v>0.30228672596948203</v>
      </c>
      <c r="K101" s="226"/>
      <c r="L101" s="226"/>
      <c r="M101" s="226"/>
      <c r="N101" s="226">
        <f>N79+N100</f>
        <v>1433558.23</v>
      </c>
      <c r="O101" s="226">
        <f>D101-N101</f>
        <v>-1085787.22</v>
      </c>
      <c r="P101" s="227">
        <f>D101/N101</f>
        <v>0.24259287325914902</v>
      </c>
      <c r="Q101" s="226">
        <f>Q79+Q100</f>
        <v>98203.20999999999</v>
      </c>
      <c r="R101" s="226">
        <f>R79+R100</f>
        <v>6923.350000000006</v>
      </c>
      <c r="S101" s="227">
        <f t="shared" si="39"/>
        <v>1.070500241285392</v>
      </c>
      <c r="T101" s="233">
        <f>T79+T100</f>
        <v>110653.335</v>
      </c>
      <c r="U101" s="233">
        <f>U79+U100</f>
        <v>105126.56</v>
      </c>
      <c r="V101" s="226">
        <f>U101-T101</f>
        <v>-5526.775000000009</v>
      </c>
      <c r="W101" s="227">
        <f>U101/T101</f>
        <v>0.950053245119092</v>
      </c>
      <c r="X101" s="263">
        <f>S101-P101</f>
        <v>0.8279073680262429</v>
      </c>
    </row>
    <row r="102" spans="2:24" ht="15">
      <c r="B102" s="18" t="s">
        <v>32</v>
      </c>
      <c r="U102" s="23"/>
      <c r="X102" s="263"/>
    </row>
    <row r="103" spans="2:24" ht="15">
      <c r="B103" s="4" t="s">
        <v>34</v>
      </c>
      <c r="C103" s="70">
        <v>1</v>
      </c>
      <c r="D103" s="4" t="s">
        <v>33</v>
      </c>
      <c r="U103" s="72"/>
      <c r="X103" s="263"/>
    </row>
    <row r="104" spans="2:24" ht="30.75">
      <c r="B104" s="46" t="s">
        <v>51</v>
      </c>
      <c r="C104" s="25">
        <f>IF(V79&lt;0,ABS(V79/C103),0)</f>
        <v>6211.580000000002</v>
      </c>
      <c r="D104" s="4" t="s">
        <v>24</v>
      </c>
      <c r="G104" s="355"/>
      <c r="H104" s="355"/>
      <c r="I104" s="355"/>
      <c r="J104" s="355"/>
      <c r="K104" s="78"/>
      <c r="L104" s="78"/>
      <c r="M104" s="78"/>
      <c r="N104" s="78"/>
      <c r="O104" s="78"/>
      <c r="P104" s="243"/>
      <c r="Q104" s="78"/>
      <c r="R104" s="78"/>
      <c r="S104" s="78"/>
      <c r="W104" s="23"/>
      <c r="X104" s="263"/>
    </row>
    <row r="105" spans="2:24" ht="34.5" customHeight="1">
      <c r="B105" s="47" t="s">
        <v>53</v>
      </c>
      <c r="C105" s="75">
        <v>43130</v>
      </c>
      <c r="D105" s="25">
        <v>10674.1</v>
      </c>
      <c r="G105" s="4" t="s">
        <v>56</v>
      </c>
      <c r="U105" s="343"/>
      <c r="V105" s="343"/>
      <c r="X105" s="263"/>
    </row>
    <row r="106" spans="3:24" ht="15">
      <c r="C106" s="75">
        <v>43129</v>
      </c>
      <c r="D106" s="25">
        <v>8695.2</v>
      </c>
      <c r="G106" s="339"/>
      <c r="H106" s="339"/>
      <c r="I106" s="95"/>
      <c r="J106" s="223"/>
      <c r="K106" s="223"/>
      <c r="L106" s="223"/>
      <c r="M106" s="223"/>
      <c r="N106" s="223"/>
      <c r="O106" s="223"/>
      <c r="P106" s="244"/>
      <c r="Q106" s="223"/>
      <c r="R106" s="223"/>
      <c r="S106" s="223"/>
      <c r="T106" s="223"/>
      <c r="U106" s="343"/>
      <c r="V106" s="343"/>
      <c r="X106" s="263"/>
    </row>
    <row r="107" spans="3:24" ht="15.75" customHeight="1">
      <c r="C107" s="75">
        <v>43126</v>
      </c>
      <c r="D107" s="25">
        <v>6044.4</v>
      </c>
      <c r="G107" s="339"/>
      <c r="H107" s="339"/>
      <c r="I107" s="95"/>
      <c r="J107" s="224"/>
      <c r="K107" s="224"/>
      <c r="L107" s="224"/>
      <c r="M107" s="224"/>
      <c r="N107" s="224"/>
      <c r="O107" s="224"/>
      <c r="P107" s="245"/>
      <c r="Q107" s="224"/>
      <c r="R107" s="224"/>
      <c r="S107" s="224"/>
      <c r="T107" s="224"/>
      <c r="U107" s="343"/>
      <c r="V107" s="343"/>
      <c r="X107" s="263"/>
    </row>
    <row r="108" spans="3:24" ht="15.75" customHeight="1">
      <c r="C108" s="75"/>
      <c r="F108" s="62"/>
      <c r="G108" s="344"/>
      <c r="H108" s="344"/>
      <c r="I108" s="101"/>
      <c r="J108" s="223"/>
      <c r="K108" s="223"/>
      <c r="L108" s="223"/>
      <c r="M108" s="223"/>
      <c r="N108" s="223"/>
      <c r="O108" s="223"/>
      <c r="P108" s="244"/>
      <c r="Q108" s="223"/>
      <c r="R108" s="223"/>
      <c r="S108" s="223"/>
      <c r="T108" s="223"/>
      <c r="X108" s="263"/>
    </row>
    <row r="109" spans="2:24" ht="18" customHeight="1">
      <c r="B109" s="337" t="s">
        <v>54</v>
      </c>
      <c r="C109" s="338"/>
      <c r="D109" s="109">
        <v>45.83636</v>
      </c>
      <c r="E109" s="63"/>
      <c r="F109" s="102" t="s">
        <v>99</v>
      </c>
      <c r="G109" s="339"/>
      <c r="H109" s="339"/>
      <c r="I109" s="103"/>
      <c r="J109" s="223"/>
      <c r="K109" s="223"/>
      <c r="L109" s="223"/>
      <c r="M109" s="223"/>
      <c r="N109" s="223"/>
      <c r="O109" s="223"/>
      <c r="P109" s="244"/>
      <c r="Q109" s="223"/>
      <c r="R109" s="223"/>
      <c r="S109" s="223"/>
      <c r="T109" s="223"/>
      <c r="X109" s="263"/>
    </row>
    <row r="110" spans="6:24" ht="9.75" customHeight="1">
      <c r="F110" s="62"/>
      <c r="G110" s="339"/>
      <c r="H110" s="339"/>
      <c r="I110" s="62"/>
      <c r="J110" s="63"/>
      <c r="K110" s="63"/>
      <c r="L110" s="63"/>
      <c r="M110" s="63"/>
      <c r="N110" s="63"/>
      <c r="O110" s="63"/>
      <c r="P110" s="246"/>
      <c r="Q110" s="63"/>
      <c r="R110" s="63"/>
      <c r="S110" s="63"/>
      <c r="X110" s="263"/>
    </row>
    <row r="111" spans="2:24" ht="22.5" customHeight="1" hidden="1">
      <c r="B111" s="340" t="s">
        <v>57</v>
      </c>
      <c r="C111" s="341"/>
      <c r="D111" s="74">
        <v>0</v>
      </c>
      <c r="E111" s="45" t="s">
        <v>24</v>
      </c>
      <c r="F111" s="62"/>
      <c r="G111" s="339"/>
      <c r="H111" s="339"/>
      <c r="I111" s="62"/>
      <c r="J111" s="63"/>
      <c r="K111" s="63"/>
      <c r="L111" s="63"/>
      <c r="M111" s="63"/>
      <c r="N111" s="63"/>
      <c r="O111" s="63"/>
      <c r="P111" s="246"/>
      <c r="Q111" s="303"/>
      <c r="R111" s="303"/>
      <c r="S111" s="303"/>
      <c r="T111" s="3"/>
      <c r="U111" s="3"/>
      <c r="V111" s="3"/>
      <c r="W111" s="3"/>
      <c r="X111" s="263"/>
    </row>
    <row r="112" spans="2:24" ht="15" hidden="1">
      <c r="B112" s="219" t="s">
        <v>125</v>
      </c>
      <c r="D112" s="62">
        <f>D60+D63+D64</f>
        <v>523</v>
      </c>
      <c r="E112" s="62">
        <f>E60+E63+E64</f>
        <v>171</v>
      </c>
      <c r="F112" s="165">
        <f>F60+F63+F64</f>
        <v>142.38</v>
      </c>
      <c r="G112" s="62">
        <f>G60+G63+G64</f>
        <v>-28.62</v>
      </c>
      <c r="H112" s="63"/>
      <c r="I112" s="63"/>
      <c r="Q112" s="3"/>
      <c r="R112" s="3"/>
      <c r="S112" s="3"/>
      <c r="T112" s="93"/>
      <c r="U112" s="93"/>
      <c r="V112" s="93"/>
      <c r="W112" s="3"/>
      <c r="X112" s="263"/>
    </row>
    <row r="113" spans="4:24" ht="15" hidden="1">
      <c r="D113" s="72"/>
      <c r="I113" s="25"/>
      <c r="Q113" s="3"/>
      <c r="R113" s="3"/>
      <c r="S113" s="3"/>
      <c r="T113" s="3"/>
      <c r="U113" s="342"/>
      <c r="V113" s="342"/>
      <c r="W113" s="3"/>
      <c r="X113" s="263"/>
    </row>
    <row r="114" spans="2:24" ht="15" hidden="1">
      <c r="B114" s="4" t="s">
        <v>109</v>
      </c>
      <c r="D114" s="25">
        <f>D9+D15+D18+D19+D23+D54+D57+D77+D71</f>
        <v>333675.45</v>
      </c>
      <c r="E114" s="25">
        <f>E9+E15+E18+E19+E23+E54+E57+E77+E71</f>
        <v>107086.15</v>
      </c>
      <c r="F114" s="188">
        <f>F9+F15+F18+F19+F23+F54+F57+F77+F71</f>
        <v>100577.95</v>
      </c>
      <c r="G114" s="25">
        <f>F114-E114</f>
        <v>-6508.199999999997</v>
      </c>
      <c r="H114" s="189">
        <f>F114/E114</f>
        <v>0.939224633624423</v>
      </c>
      <c r="I114" s="25">
        <f>F114-D114</f>
        <v>-233097.5</v>
      </c>
      <c r="J114" s="189">
        <f>F114/D114</f>
        <v>0.3014244829818915</v>
      </c>
      <c r="K114" s="189"/>
      <c r="L114" s="189"/>
      <c r="M114" s="189"/>
      <c r="N114" s="189"/>
      <c r="O114" s="189"/>
      <c r="Q114" s="3"/>
      <c r="R114" s="3"/>
      <c r="S114" s="3"/>
      <c r="T114" s="93"/>
      <c r="U114" s="93"/>
      <c r="V114" s="93"/>
      <c r="W114" s="334"/>
      <c r="X114" s="263"/>
    </row>
    <row r="115" spans="2:24" ht="15" hidden="1">
      <c r="B115" s="4" t="s">
        <v>110</v>
      </c>
      <c r="D115" s="25">
        <f>D55+D56+D58+D60+D62+D63+D64+D65+D66+D72+D76+D59+D78</f>
        <v>11818.3</v>
      </c>
      <c r="E115" s="25">
        <f>E55+E56+E58+E60+E62+E63+E64+E65+E66+E72+E76+E59+E78</f>
        <v>2808.1</v>
      </c>
      <c r="F115" s="188">
        <f>F55+F56+F58+F60+F62+F63+F64+F65+F66+F72+F76+F59+F78</f>
        <v>3104.72</v>
      </c>
      <c r="G115" s="25">
        <f>G55+G56+G58+G60+G62+G63+G64+G65+G66+G72+G76+G59</f>
        <v>296.6199999999999</v>
      </c>
      <c r="H115" s="189">
        <f>F115/E115</f>
        <v>1.1056301413767315</v>
      </c>
      <c r="I115" s="25">
        <f>I55+I56+I58+I60+I62+I63+I64+I65+I66+I72+I76+I59</f>
        <v>-8713.579999999998</v>
      </c>
      <c r="J115" s="189">
        <f>F115/D115</f>
        <v>0.26270444987857816</v>
      </c>
      <c r="K115" s="189"/>
      <c r="L115" s="189"/>
      <c r="M115" s="189"/>
      <c r="N115" s="189"/>
      <c r="O115" s="189"/>
      <c r="Q115" s="93"/>
      <c r="R115" s="93"/>
      <c r="S115" s="93"/>
      <c r="T115" s="93"/>
      <c r="U115" s="93"/>
      <c r="V115" s="93"/>
      <c r="W115" s="334"/>
      <c r="X115" s="263"/>
    </row>
    <row r="116" spans="2:24" ht="15" hidden="1">
      <c r="B116" s="4" t="s">
        <v>111</v>
      </c>
      <c r="D116" s="25">
        <f>SUM(D114:D115)</f>
        <v>345493.75</v>
      </c>
      <c r="E116" s="25">
        <f>SUM(E114:E115)</f>
        <v>109894.25</v>
      </c>
      <c r="F116" s="25">
        <f>SUM(F114:F115)</f>
        <v>103682.67</v>
      </c>
      <c r="G116" s="25">
        <f>SUM(G114:G115)</f>
        <v>-6211.579999999997</v>
      </c>
      <c r="H116" s="189">
        <f>F116/E116</f>
        <v>0.9434767515133867</v>
      </c>
      <c r="I116" s="25">
        <f>SUM(I114:I115)</f>
        <v>-241811.08</v>
      </c>
      <c r="J116" s="189">
        <f>F116/D116</f>
        <v>0.3000999873369634</v>
      </c>
      <c r="K116" s="189"/>
      <c r="L116" s="189"/>
      <c r="M116" s="189"/>
      <c r="N116" s="189"/>
      <c r="O116" s="189"/>
      <c r="Q116" s="93"/>
      <c r="R116" s="93"/>
      <c r="S116" s="93"/>
      <c r="T116" s="93"/>
      <c r="U116" s="93"/>
      <c r="V116" s="93"/>
      <c r="W116" s="334"/>
      <c r="X116" s="263"/>
    </row>
    <row r="117" spans="4:24" ht="15" hidden="1">
      <c r="D117" s="25">
        <f>D79-D116</f>
        <v>0</v>
      </c>
      <c r="E117" s="25" t="e">
        <f>#N/A</f>
        <v>#N/A</v>
      </c>
      <c r="F117" s="25" t="e">
        <f>#N/A</f>
        <v>#N/A</v>
      </c>
      <c r="G117" s="25" t="e">
        <f>#N/A</f>
        <v>#N/A</v>
      </c>
      <c r="H117" s="189"/>
      <c r="I117" s="25" t="e">
        <f>#N/A</f>
        <v>#N/A</v>
      </c>
      <c r="J117" s="189"/>
      <c r="K117" s="189"/>
      <c r="L117" s="189"/>
      <c r="M117" s="189"/>
      <c r="N117" s="189"/>
      <c r="O117" s="189"/>
      <c r="Q117" s="93"/>
      <c r="R117" s="93"/>
      <c r="S117" s="93"/>
      <c r="T117" s="93"/>
      <c r="U117" s="93"/>
      <c r="V117" s="93"/>
      <c r="W117" s="93"/>
      <c r="X117" s="263"/>
    </row>
    <row r="118" spans="5:24" ht="15" hidden="1">
      <c r="E118" s="4" t="s">
        <v>56</v>
      </c>
      <c r="Q118" s="3"/>
      <c r="R118" s="3"/>
      <c r="S118" s="3"/>
      <c r="T118" s="3"/>
      <c r="U118" s="3"/>
      <c r="V118" s="3"/>
      <c r="W118" s="3"/>
      <c r="X118" s="263"/>
    </row>
    <row r="119" spans="2:24" ht="15" hidden="1">
      <c r="B119" s="201" t="s">
        <v>116</v>
      </c>
      <c r="E119" s="25">
        <f>E79-E9-E20-E35-E47</f>
        <v>7314.199999999997</v>
      </c>
      <c r="X119" s="263"/>
    </row>
    <row r="120" spans="2:24" ht="15" hidden="1">
      <c r="B120" s="201" t="s">
        <v>117</v>
      </c>
      <c r="E120" s="25">
        <f>E100-E95-E88-E89</f>
        <v>0</v>
      </c>
      <c r="X120" s="263"/>
    </row>
    <row r="121" ht="15" hidden="1">
      <c r="X121" s="263"/>
    </row>
    <row r="122" spans="2:24" ht="18" hidden="1">
      <c r="B122" s="99" t="s">
        <v>112</v>
      </c>
      <c r="C122" s="37">
        <v>25000000</v>
      </c>
      <c r="D122" s="145">
        <v>72408.22</v>
      </c>
      <c r="E122" s="145">
        <v>18102.06</v>
      </c>
      <c r="F122" s="146">
        <v>20254.32</v>
      </c>
      <c r="G122" s="132">
        <f>F122-E122</f>
        <v>2152.2599999999984</v>
      </c>
      <c r="H122" s="134">
        <f>F122/E122*100</f>
        <v>111.88958604711286</v>
      </c>
      <c r="I122" s="137">
        <f>F122-D122</f>
        <v>-52153.9</v>
      </c>
      <c r="J122" s="137">
        <f>F122/D122*100</f>
        <v>27.972404238082362</v>
      </c>
      <c r="K122" s="137"/>
      <c r="L122" s="137"/>
      <c r="M122" s="137"/>
      <c r="N122" s="137"/>
      <c r="O122" s="137"/>
      <c r="P122" s="171"/>
      <c r="Q122" s="137"/>
      <c r="R122" s="137"/>
      <c r="S122" s="208"/>
      <c r="T122" s="206"/>
      <c r="U122" s="206"/>
      <c r="V122" s="207"/>
      <c r="W122" s="207"/>
      <c r="X122" s="263"/>
    </row>
    <row r="123" spans="2:24" ht="23.25" customHeight="1" hidden="1">
      <c r="B123" s="13" t="s">
        <v>30</v>
      </c>
      <c r="C123" s="60"/>
      <c r="D123" s="155">
        <f>D100+D122</f>
        <v>74685.48</v>
      </c>
      <c r="E123" s="155">
        <f>E100+E122</f>
        <v>18861.145</v>
      </c>
      <c r="F123" s="155">
        <f>F100+F122</f>
        <v>21698.21</v>
      </c>
      <c r="G123" s="156">
        <f>F123-E123</f>
        <v>2837.0649999999987</v>
      </c>
      <c r="H123" s="157">
        <f>F123/E123*100</f>
        <v>115.0418492620676</v>
      </c>
      <c r="I123" s="158">
        <f>F123-D123</f>
        <v>-52987.27</v>
      </c>
      <c r="J123" s="158">
        <f>F123/D123*100</f>
        <v>29.05278241500222</v>
      </c>
      <c r="K123" s="158"/>
      <c r="L123" s="158"/>
      <c r="M123" s="158"/>
      <c r="N123" s="158"/>
      <c r="O123" s="158"/>
      <c r="P123" s="181"/>
      <c r="Q123" s="158">
        <v>3039.87</v>
      </c>
      <c r="R123" s="158">
        <f>F123-Q123</f>
        <v>18658.34</v>
      </c>
      <c r="S123" s="209">
        <f>F123/Q123</f>
        <v>7.137874316993819</v>
      </c>
      <c r="T123" s="210"/>
      <c r="U123" s="210"/>
      <c r="V123" s="211"/>
      <c r="W123" s="211"/>
      <c r="X123" s="263"/>
    </row>
    <row r="124" spans="2:24" ht="17.25" hidden="1">
      <c r="B124" s="19" t="s">
        <v>121</v>
      </c>
      <c r="C124" s="60"/>
      <c r="D124" s="155">
        <f>D123+D79</f>
        <v>420179.23</v>
      </c>
      <c r="E124" s="155">
        <f>E123+E79</f>
        <v>128755.395</v>
      </c>
      <c r="F124" s="155">
        <f>F123+F79</f>
        <v>125380.88</v>
      </c>
      <c r="G124" s="156">
        <f>F124-E124</f>
        <v>-3374.5149999999994</v>
      </c>
      <c r="H124" s="157">
        <f>F124/E124*100</f>
        <v>97.37912729792798</v>
      </c>
      <c r="I124" s="158">
        <f>F124-D124</f>
        <v>-294798.35</v>
      </c>
      <c r="J124" s="158">
        <f>F124/D124*100</f>
        <v>29.839856672591843</v>
      </c>
      <c r="K124" s="158"/>
      <c r="L124" s="158"/>
      <c r="M124" s="158"/>
      <c r="N124" s="158"/>
      <c r="O124" s="158"/>
      <c r="P124" s="181"/>
      <c r="Q124" s="158">
        <f>Q101+Q123</f>
        <v>101243.07999999999</v>
      </c>
      <c r="R124" s="158">
        <f>F124-Q124</f>
        <v>24137.800000000017</v>
      </c>
      <c r="S124" s="209">
        <f>F124/Q124</f>
        <v>1.2384143192798958</v>
      </c>
      <c r="T124" s="212"/>
      <c r="U124" s="212"/>
      <c r="V124" s="211"/>
      <c r="W124" s="211"/>
      <c r="X124" s="263"/>
    </row>
    <row r="125" spans="2:24" ht="15" hidden="1">
      <c r="B125" s="197" t="s">
        <v>123</v>
      </c>
      <c r="C125" s="195">
        <v>40000000</v>
      </c>
      <c r="D125" s="200" t="e">
        <f>#N/A</f>
        <v>#N/A</v>
      </c>
      <c r="E125" s="200" t="e">
        <f>#N/A</f>
        <v>#N/A</v>
      </c>
      <c r="F125" s="200" t="e">
        <f>#N/A</f>
        <v>#N/A</v>
      </c>
      <c r="G125" s="200" t="e">
        <f>#N/A</f>
        <v>#N/A</v>
      </c>
      <c r="H125" s="200" t="e">
        <f>F125/E125*100</f>
        <v>#N/A</v>
      </c>
      <c r="I125" s="32" t="e">
        <f>#N/A</f>
        <v>#N/A</v>
      </c>
      <c r="J125" s="32" t="e">
        <f>F125/D125*100</f>
        <v>#N/A</v>
      </c>
      <c r="K125" s="236"/>
      <c r="L125" s="236"/>
      <c r="M125" s="236"/>
      <c r="N125" s="236"/>
      <c r="O125" s="236"/>
      <c r="P125" s="247"/>
      <c r="W125" s="80"/>
      <c r="X125" s="263"/>
    </row>
    <row r="126" spans="2:24" ht="26.25" hidden="1">
      <c r="B126" s="196" t="s">
        <v>114</v>
      </c>
      <c r="C126" s="195">
        <v>41033900</v>
      </c>
      <c r="D126" s="200">
        <v>243334.5</v>
      </c>
      <c r="E126" s="200">
        <v>56191.6</v>
      </c>
      <c r="F126" s="200">
        <v>56191.6</v>
      </c>
      <c r="G126" s="200" t="e">
        <f>#N/A</f>
        <v>#N/A</v>
      </c>
      <c r="H126" s="200" t="e">
        <f>#N/A</f>
        <v>#N/A</v>
      </c>
      <c r="I126" s="32" t="e">
        <f>#N/A</f>
        <v>#N/A</v>
      </c>
      <c r="J126" s="32" t="e">
        <f>#N/A</f>
        <v>#N/A</v>
      </c>
      <c r="K126" s="236"/>
      <c r="L126" s="236"/>
      <c r="M126" s="236"/>
      <c r="N126" s="236"/>
      <c r="O126" s="236"/>
      <c r="P126" s="247"/>
      <c r="W126" s="80"/>
      <c r="X126" s="263"/>
    </row>
    <row r="127" spans="2:24" ht="26.25" hidden="1">
      <c r="B127" s="196" t="s">
        <v>115</v>
      </c>
      <c r="C127" s="195">
        <v>41034200</v>
      </c>
      <c r="D127" s="200">
        <v>238249.5</v>
      </c>
      <c r="E127" s="200">
        <v>59541.9</v>
      </c>
      <c r="F127" s="200">
        <v>59541.9</v>
      </c>
      <c r="G127" s="200" t="e">
        <f>#N/A</f>
        <v>#N/A</v>
      </c>
      <c r="H127" s="200" t="e">
        <f>#N/A</f>
        <v>#N/A</v>
      </c>
      <c r="I127" s="32" t="e">
        <f>#N/A</f>
        <v>#N/A</v>
      </c>
      <c r="J127" s="32" t="e">
        <f>#N/A</f>
        <v>#N/A</v>
      </c>
      <c r="K127" s="236"/>
      <c r="L127" s="236"/>
      <c r="M127" s="236"/>
      <c r="N127" s="236"/>
      <c r="O127" s="236"/>
      <c r="P127" s="247"/>
      <c r="W127" s="80"/>
      <c r="X127" s="263"/>
    </row>
    <row r="128" spans="2:24" s="198" customFormat="1" ht="25.5" customHeight="1" hidden="1">
      <c r="B128" s="213" t="s">
        <v>113</v>
      </c>
      <c r="C128" s="214"/>
      <c r="D128" s="215" t="e">
        <f>D124+D125</f>
        <v>#N/A</v>
      </c>
      <c r="E128" s="215" t="e">
        <f>E124+E125</f>
        <v>#N/A</v>
      </c>
      <c r="F128" s="215" t="e">
        <f>F124+F125</f>
        <v>#N/A</v>
      </c>
      <c r="G128" s="216" t="e">
        <f>#N/A</f>
        <v>#N/A</v>
      </c>
      <c r="H128" s="215" t="e">
        <f>#N/A</f>
        <v>#N/A</v>
      </c>
      <c r="I128" s="217" t="e">
        <f>#N/A</f>
        <v>#N/A</v>
      </c>
      <c r="J128" s="217" t="e">
        <f>#N/A</f>
        <v>#N/A</v>
      </c>
      <c r="K128" s="237"/>
      <c r="L128" s="237"/>
      <c r="M128" s="237"/>
      <c r="N128" s="237"/>
      <c r="O128" s="237"/>
      <c r="P128" s="248"/>
      <c r="W128" s="199"/>
      <c r="X128" s="263"/>
    </row>
    <row r="129" ht="15" hidden="1">
      <c r="X129" s="263"/>
    </row>
    <row r="130" ht="15" hidden="1">
      <c r="X130" s="263"/>
    </row>
    <row r="131" ht="15" hidden="1">
      <c r="X131" s="263"/>
    </row>
    <row r="132" ht="15" hidden="1">
      <c r="X132" s="263"/>
    </row>
    <row r="133" ht="15" hidden="1">
      <c r="X133" s="263"/>
    </row>
    <row r="134" ht="15" hidden="1">
      <c r="X134" s="263"/>
    </row>
    <row r="135" spans="2:24" ht="15" hidden="1">
      <c r="B135" s="260" t="s">
        <v>145</v>
      </c>
      <c r="X135" s="263"/>
    </row>
    <row r="136" spans="1:24" s="6" customFormat="1" ht="30.75" customHeight="1" hidden="1">
      <c r="A136" s="8"/>
      <c r="B136" s="251" t="str">
        <f>B17</f>
        <v>Рентна плата за спеціальне використання лісових ресурсів</v>
      </c>
      <c r="C136" s="296">
        <f>C17</f>
        <v>13010200</v>
      </c>
      <c r="D136" s="312">
        <f aca="true" t="shared" si="47" ref="D136:S137">D17</f>
        <v>0</v>
      </c>
      <c r="E136" s="312">
        <f t="shared" si="47"/>
        <v>0</v>
      </c>
      <c r="F136" s="314">
        <f t="shared" si="47"/>
        <v>0</v>
      </c>
      <c r="G136" s="312">
        <f t="shared" si="47"/>
        <v>0</v>
      </c>
      <c r="H136" s="323">
        <f t="shared" si="47"/>
        <v>0</v>
      </c>
      <c r="I136" s="322">
        <f t="shared" si="47"/>
        <v>0</v>
      </c>
      <c r="J136" s="323">
        <f t="shared" si="47"/>
        <v>0</v>
      </c>
      <c r="K136" s="184">
        <f t="shared" si="47"/>
        <v>0</v>
      </c>
      <c r="L136" s="184">
        <f t="shared" si="47"/>
        <v>0</v>
      </c>
      <c r="M136" s="184">
        <f t="shared" si="47"/>
        <v>0</v>
      </c>
      <c r="N136" s="322">
        <f t="shared" si="47"/>
        <v>0.49</v>
      </c>
      <c r="O136" s="322">
        <f t="shared" si="47"/>
        <v>-0.49</v>
      </c>
      <c r="P136" s="323">
        <f t="shared" si="47"/>
        <v>0</v>
      </c>
      <c r="Q136" s="322">
        <f t="shared" si="47"/>
        <v>0</v>
      </c>
      <c r="R136" s="321">
        <f t="shared" si="47"/>
        <v>0</v>
      </c>
      <c r="S136" s="323" t="e">
        <f t="shared" si="47"/>
        <v>#DIV/0!</v>
      </c>
      <c r="T136" s="299"/>
      <c r="U136" s="299"/>
      <c r="V136" s="299"/>
      <c r="W136" s="299"/>
      <c r="X136" s="263" t="e">
        <f aca="true" t="shared" si="48" ref="X136:X145">S136-P136</f>
        <v>#DIV/0!</v>
      </c>
    </row>
    <row r="137" spans="1:24" s="6" customFormat="1" ht="30.75" hidden="1">
      <c r="A137" s="8"/>
      <c r="B137" s="252" t="str">
        <f>B18</f>
        <v>Рентна плата за користування надрами для видобування корисних копалин місцевого значення</v>
      </c>
      <c r="C137" s="296">
        <f>C18</f>
        <v>13030200</v>
      </c>
      <c r="D137" s="312">
        <f t="shared" si="47"/>
        <v>110</v>
      </c>
      <c r="E137" s="312">
        <f t="shared" si="47"/>
        <v>0</v>
      </c>
      <c r="F137" s="314">
        <f t="shared" si="47"/>
        <v>0</v>
      </c>
      <c r="G137" s="312">
        <f t="shared" si="47"/>
        <v>0</v>
      </c>
      <c r="H137" s="323" t="e">
        <f t="shared" si="47"/>
        <v>#DIV/0!</v>
      </c>
      <c r="I137" s="312">
        <f t="shared" si="47"/>
        <v>-110</v>
      </c>
      <c r="J137" s="323">
        <f t="shared" si="47"/>
        <v>0</v>
      </c>
      <c r="K137" s="107">
        <f t="shared" si="47"/>
        <v>0</v>
      </c>
      <c r="L137" s="107">
        <f t="shared" si="47"/>
        <v>0</v>
      </c>
      <c r="M137" s="107">
        <f t="shared" si="47"/>
        <v>0</v>
      </c>
      <c r="N137" s="322">
        <f t="shared" si="47"/>
        <v>220.59</v>
      </c>
      <c r="O137" s="322">
        <f t="shared" si="47"/>
        <v>-110.59</v>
      </c>
      <c r="P137" s="323">
        <f t="shared" si="47"/>
        <v>0.4986626773652477</v>
      </c>
      <c r="Q137" s="322">
        <f t="shared" si="47"/>
        <v>0</v>
      </c>
      <c r="R137" s="321">
        <f t="shared" si="47"/>
        <v>0</v>
      </c>
      <c r="S137" s="323" t="e">
        <f t="shared" si="47"/>
        <v>#DIV/0!</v>
      </c>
      <c r="T137" s="300"/>
      <c r="U137" s="300"/>
      <c r="V137" s="300"/>
      <c r="W137" s="300"/>
      <c r="X137" s="263" t="e">
        <f t="shared" si="48"/>
        <v>#DIV/0!</v>
      </c>
    </row>
    <row r="138" spans="1:24" s="6" customFormat="1" ht="15" hidden="1">
      <c r="A138" s="8"/>
      <c r="B138" s="253" t="str">
        <f aca="true" t="shared" si="49" ref="B138:S141">B56</f>
        <v>Інші надходження (по актам ДФІУ)</v>
      </c>
      <c r="C138" s="297">
        <f t="shared" si="49"/>
        <v>21080500</v>
      </c>
      <c r="D138" s="315">
        <f t="shared" si="49"/>
        <v>2</v>
      </c>
      <c r="E138" s="315">
        <f t="shared" si="49"/>
        <v>0</v>
      </c>
      <c r="F138" s="316">
        <f t="shared" si="49"/>
        <v>0</v>
      </c>
      <c r="G138" s="315">
        <f t="shared" si="49"/>
        <v>0</v>
      </c>
      <c r="H138" s="324" t="e">
        <f t="shared" si="49"/>
        <v>#DIV/0!</v>
      </c>
      <c r="I138" s="321">
        <f t="shared" si="49"/>
        <v>-2</v>
      </c>
      <c r="J138" s="324">
        <f t="shared" si="49"/>
        <v>0</v>
      </c>
      <c r="K138" s="106">
        <f t="shared" si="49"/>
        <v>0</v>
      </c>
      <c r="L138" s="106">
        <f t="shared" si="49"/>
        <v>0</v>
      </c>
      <c r="M138" s="106">
        <f t="shared" si="49"/>
        <v>0</v>
      </c>
      <c r="N138" s="321">
        <f t="shared" si="49"/>
        <v>153.3</v>
      </c>
      <c r="O138" s="321">
        <f t="shared" si="49"/>
        <v>-151.3</v>
      </c>
      <c r="P138" s="324">
        <f t="shared" si="49"/>
        <v>0.01304631441617743</v>
      </c>
      <c r="Q138" s="321">
        <f t="shared" si="49"/>
        <v>14.87</v>
      </c>
      <c r="R138" s="321">
        <f t="shared" si="49"/>
        <v>-14.87</v>
      </c>
      <c r="S138" s="323">
        <f t="shared" si="49"/>
        <v>0</v>
      </c>
      <c r="T138" s="299"/>
      <c r="U138" s="299"/>
      <c r="V138" s="299"/>
      <c r="W138" s="299"/>
      <c r="X138" s="263">
        <f t="shared" si="48"/>
        <v>-0.01304631441617743</v>
      </c>
    </row>
    <row r="139" spans="1:24" s="6" customFormat="1" ht="30.75" hidden="1">
      <c r="A139" s="8"/>
      <c r="B139" s="254" t="str">
        <f t="shared" si="49"/>
        <v>Штрафні санкції за порушення законодавства про патентування</v>
      </c>
      <c r="C139" s="298">
        <f t="shared" si="49"/>
        <v>21080900</v>
      </c>
      <c r="D139" s="317">
        <f t="shared" si="49"/>
        <v>1.5</v>
      </c>
      <c r="E139" s="317">
        <f t="shared" si="49"/>
        <v>0.5</v>
      </c>
      <c r="F139" s="318">
        <f t="shared" si="49"/>
        <v>2.02</v>
      </c>
      <c r="G139" s="317">
        <f t="shared" si="49"/>
        <v>1.52</v>
      </c>
      <c r="H139" s="325">
        <f t="shared" si="49"/>
        <v>4.04</v>
      </c>
      <c r="I139" s="317">
        <f t="shared" si="49"/>
        <v>0.52</v>
      </c>
      <c r="J139" s="325">
        <f t="shared" si="49"/>
        <v>1.3466666666666667</v>
      </c>
      <c r="K139" s="194">
        <f t="shared" si="49"/>
        <v>0</v>
      </c>
      <c r="L139" s="194">
        <f t="shared" si="49"/>
        <v>0</v>
      </c>
      <c r="M139" s="194">
        <f t="shared" si="49"/>
        <v>0</v>
      </c>
      <c r="N139" s="326">
        <f t="shared" si="49"/>
        <v>12.95</v>
      </c>
      <c r="O139" s="326">
        <f t="shared" si="49"/>
        <v>-11.45</v>
      </c>
      <c r="P139" s="325">
        <f t="shared" si="49"/>
        <v>0.11583011583011583</v>
      </c>
      <c r="Q139" s="326">
        <f t="shared" si="49"/>
        <v>0</v>
      </c>
      <c r="R139" s="326">
        <f t="shared" si="49"/>
        <v>2.02</v>
      </c>
      <c r="S139" s="330">
        <f t="shared" si="49"/>
        <v>0</v>
      </c>
      <c r="T139" s="301"/>
      <c r="U139" s="301"/>
      <c r="V139" s="301"/>
      <c r="W139" s="301"/>
      <c r="X139" s="263">
        <f t="shared" si="48"/>
        <v>-0.11583011583011583</v>
      </c>
    </row>
    <row r="140" spans="1:24" s="6" customFormat="1" ht="15" hidden="1">
      <c r="A140" s="8"/>
      <c r="B140" s="252" t="str">
        <f t="shared" si="49"/>
        <v>Адмінстративні штрафи та інші санкції</v>
      </c>
      <c r="C140" s="296">
        <f t="shared" si="49"/>
        <v>21081100</v>
      </c>
      <c r="D140" s="312">
        <f t="shared" si="49"/>
        <v>60</v>
      </c>
      <c r="E140" s="312">
        <f t="shared" si="49"/>
        <v>20</v>
      </c>
      <c r="F140" s="314">
        <f t="shared" si="49"/>
        <v>28.43</v>
      </c>
      <c r="G140" s="312">
        <f t="shared" si="49"/>
        <v>8.43</v>
      </c>
      <c r="H140" s="323">
        <f t="shared" si="49"/>
        <v>1.4215</v>
      </c>
      <c r="I140" s="312">
        <f t="shared" si="49"/>
        <v>-31.57</v>
      </c>
      <c r="J140" s="323">
        <f t="shared" si="49"/>
        <v>0.47383333333333333</v>
      </c>
      <c r="K140" s="107">
        <f t="shared" si="49"/>
        <v>0</v>
      </c>
      <c r="L140" s="107">
        <f t="shared" si="49"/>
        <v>0</v>
      </c>
      <c r="M140" s="107">
        <f t="shared" si="49"/>
        <v>0</v>
      </c>
      <c r="N140" s="322">
        <f t="shared" si="49"/>
        <v>705.31</v>
      </c>
      <c r="O140" s="322">
        <f t="shared" si="49"/>
        <v>-645.31</v>
      </c>
      <c r="P140" s="323">
        <f t="shared" si="49"/>
        <v>0.08506897676199118</v>
      </c>
      <c r="Q140" s="322">
        <f t="shared" si="49"/>
        <v>11.17</v>
      </c>
      <c r="R140" s="321">
        <f t="shared" si="49"/>
        <v>17.259999999999998</v>
      </c>
      <c r="S140" s="323">
        <f t="shared" si="49"/>
        <v>2.5452103849597134</v>
      </c>
      <c r="T140" s="300"/>
      <c r="U140" s="300"/>
      <c r="V140" s="300"/>
      <c r="W140" s="300"/>
      <c r="X140" s="263">
        <f t="shared" si="48"/>
        <v>2.4601414081977224</v>
      </c>
    </row>
    <row r="141" spans="1:24" s="6" customFormat="1" ht="46.5" hidden="1">
      <c r="A141" s="8"/>
      <c r="B141" s="2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296">
        <f t="shared" si="49"/>
        <v>21081500</v>
      </c>
      <c r="D141" s="312">
        <f t="shared" si="49"/>
        <v>3</v>
      </c>
      <c r="E141" s="312">
        <f t="shared" si="49"/>
        <v>1</v>
      </c>
      <c r="F141" s="314">
        <f t="shared" si="49"/>
        <v>-6.55</v>
      </c>
      <c r="G141" s="312">
        <f t="shared" si="49"/>
        <v>-7.55</v>
      </c>
      <c r="H141" s="323">
        <f t="shared" si="49"/>
        <v>-6.55</v>
      </c>
      <c r="I141" s="312">
        <f t="shared" si="49"/>
        <v>-9.55</v>
      </c>
      <c r="J141" s="323">
        <f t="shared" si="49"/>
        <v>-2.183333333333333</v>
      </c>
      <c r="K141" s="107">
        <f t="shared" si="49"/>
        <v>0</v>
      </c>
      <c r="L141" s="107">
        <f t="shared" si="49"/>
        <v>0</v>
      </c>
      <c r="M141" s="107">
        <f t="shared" si="49"/>
        <v>0</v>
      </c>
      <c r="N141" s="322">
        <f t="shared" si="49"/>
        <v>114.3</v>
      </c>
      <c r="O141" s="322">
        <f t="shared" si="49"/>
        <v>-111.3</v>
      </c>
      <c r="P141" s="323">
        <f t="shared" si="49"/>
        <v>0.026246719160104987</v>
      </c>
      <c r="Q141" s="322">
        <f t="shared" si="49"/>
        <v>0</v>
      </c>
      <c r="R141" s="321">
        <f t="shared" si="49"/>
        <v>-6.55</v>
      </c>
      <c r="S141" s="323" t="e">
        <f t="shared" si="49"/>
        <v>#DIV/0!</v>
      </c>
      <c r="T141" s="300"/>
      <c r="U141" s="300"/>
      <c r="V141" s="300"/>
      <c r="W141" s="300"/>
      <c r="X141" s="263" t="e">
        <f t="shared" si="48"/>
        <v>#DIV/0!</v>
      </c>
    </row>
    <row r="142" spans="1:24" s="6" customFormat="1" ht="46.5" hidden="1">
      <c r="A142" s="8"/>
      <c r="B142" s="2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296" t="str">
        <f>C71</f>
        <v>24030000</v>
      </c>
      <c r="D142" s="312">
        <f aca="true" t="shared" si="50" ref="D142:S142">D71</f>
        <v>0</v>
      </c>
      <c r="E142" s="312">
        <f t="shared" si="50"/>
        <v>0</v>
      </c>
      <c r="F142" s="314">
        <f t="shared" si="50"/>
        <v>0</v>
      </c>
      <c r="G142" s="312">
        <f t="shared" si="50"/>
        <v>0</v>
      </c>
      <c r="H142" s="323" t="e">
        <f t="shared" si="50"/>
        <v>#DIV/0!</v>
      </c>
      <c r="I142" s="312">
        <f t="shared" si="50"/>
        <v>0</v>
      </c>
      <c r="J142" s="323" t="e">
        <f t="shared" si="50"/>
        <v>#DIV/0!</v>
      </c>
      <c r="K142" s="107">
        <f t="shared" si="50"/>
        <v>0</v>
      </c>
      <c r="L142" s="107">
        <f t="shared" si="50"/>
        <v>0</v>
      </c>
      <c r="M142" s="107">
        <f t="shared" si="50"/>
        <v>0</v>
      </c>
      <c r="N142" s="322">
        <f t="shared" si="50"/>
        <v>2.04</v>
      </c>
      <c r="O142" s="322">
        <f t="shared" si="50"/>
        <v>-2.04</v>
      </c>
      <c r="P142" s="323">
        <f t="shared" si="50"/>
        <v>0</v>
      </c>
      <c r="Q142" s="322">
        <f t="shared" si="50"/>
        <v>1.67</v>
      </c>
      <c r="R142" s="321">
        <f t="shared" si="50"/>
        <v>-1.67</v>
      </c>
      <c r="S142" s="323">
        <f t="shared" si="50"/>
        <v>0</v>
      </c>
      <c r="T142" s="300"/>
      <c r="U142" s="300"/>
      <c r="V142" s="300"/>
      <c r="W142" s="300"/>
      <c r="X142" s="263">
        <f t="shared" si="48"/>
        <v>0</v>
      </c>
    </row>
    <row r="143" spans="1:24" s="6" customFormat="1" ht="15" hidden="1">
      <c r="A143" s="8"/>
      <c r="B143" s="258" t="str">
        <f>B77</f>
        <v>Надходження коштів від реалізації безхазяйного майна</v>
      </c>
      <c r="C143" s="296">
        <f>C77</f>
        <v>31010200</v>
      </c>
      <c r="D143" s="319">
        <f aca="true" t="shared" si="51" ref="D143:S144">D77</f>
        <v>4.5</v>
      </c>
      <c r="E143" s="319">
        <f t="shared" si="51"/>
        <v>1.5</v>
      </c>
      <c r="F143" s="320">
        <f t="shared" si="51"/>
        <v>3.77</v>
      </c>
      <c r="G143" s="319">
        <f t="shared" si="51"/>
        <v>2.27</v>
      </c>
      <c r="H143" s="309">
        <f t="shared" si="51"/>
        <v>2.513333333333333</v>
      </c>
      <c r="I143" s="319">
        <f t="shared" si="51"/>
        <v>-0.73</v>
      </c>
      <c r="J143" s="309">
        <f t="shared" si="51"/>
        <v>0.8377777777777777</v>
      </c>
      <c r="K143" s="108">
        <f t="shared" si="51"/>
        <v>0</v>
      </c>
      <c r="L143" s="108">
        <f t="shared" si="51"/>
        <v>0</v>
      </c>
      <c r="M143" s="108">
        <f t="shared" si="51"/>
        <v>0</v>
      </c>
      <c r="N143" s="327">
        <f t="shared" si="51"/>
        <v>34.22</v>
      </c>
      <c r="O143" s="327">
        <f t="shared" si="51"/>
        <v>-29.72</v>
      </c>
      <c r="P143" s="309">
        <f t="shared" si="51"/>
        <v>0.1315020455873758</v>
      </c>
      <c r="Q143" s="327">
        <f t="shared" si="51"/>
        <v>1.49</v>
      </c>
      <c r="R143" s="328">
        <f t="shared" si="51"/>
        <v>2.2800000000000002</v>
      </c>
      <c r="S143" s="309">
        <f t="shared" si="51"/>
        <v>2.530201342281879</v>
      </c>
      <c r="T143" s="302"/>
      <c r="U143" s="302"/>
      <c r="V143" s="302"/>
      <c r="W143" s="302"/>
      <c r="X143" s="263">
        <f t="shared" si="48"/>
        <v>2.3986992966945033</v>
      </c>
    </row>
    <row r="144" spans="1:24" s="6" customFormat="1" ht="30.75" hidden="1">
      <c r="A144" s="8"/>
      <c r="B144" s="258" t="str">
        <f>B78</f>
        <v>Надходження коштів від Держ фонду дорогоцінних металів та дорогоцінного каміння</v>
      </c>
      <c r="C144" s="296">
        <f>C78</f>
        <v>31020000</v>
      </c>
      <c r="D144" s="319">
        <f t="shared" si="51"/>
        <v>0</v>
      </c>
      <c r="E144" s="319">
        <f t="shared" si="51"/>
        <v>0</v>
      </c>
      <c r="F144" s="320">
        <f t="shared" si="51"/>
        <v>0</v>
      </c>
      <c r="G144" s="319">
        <f t="shared" si="51"/>
        <v>0</v>
      </c>
      <c r="H144" s="309" t="e">
        <f t="shared" si="51"/>
        <v>#DIV/0!</v>
      </c>
      <c r="I144" s="319">
        <f t="shared" si="51"/>
        <v>0</v>
      </c>
      <c r="J144" s="309">
        <f t="shared" si="51"/>
        <v>0</v>
      </c>
      <c r="K144" s="108">
        <f t="shared" si="51"/>
        <v>0</v>
      </c>
      <c r="L144" s="108">
        <f t="shared" si="51"/>
        <v>0</v>
      </c>
      <c r="M144" s="108">
        <f t="shared" si="51"/>
        <v>0</v>
      </c>
      <c r="N144" s="327">
        <f t="shared" si="51"/>
        <v>-4.86</v>
      </c>
      <c r="O144" s="327">
        <f t="shared" si="51"/>
        <v>4.86</v>
      </c>
      <c r="P144" s="309">
        <f t="shared" si="51"/>
        <v>0</v>
      </c>
      <c r="Q144" s="327">
        <f t="shared" si="51"/>
        <v>0</v>
      </c>
      <c r="R144" s="328">
        <f t="shared" si="51"/>
        <v>0</v>
      </c>
      <c r="S144" s="309" t="e">
        <f t="shared" si="51"/>
        <v>#DIV/0!</v>
      </c>
      <c r="T144" s="302"/>
      <c r="U144" s="302"/>
      <c r="V144" s="302"/>
      <c r="W144" s="302"/>
      <c r="X144" s="263" t="e">
        <f t="shared" si="48"/>
        <v>#DIV/0!</v>
      </c>
    </row>
    <row r="145" spans="4:24" ht="15" hidden="1">
      <c r="D145" s="306">
        <f>D136+D137+D138+D139+D140+D141+D142+D143+D144</f>
        <v>181</v>
      </c>
      <c r="E145" s="306">
        <f>E136+E137+E138+E139+E140+E141+E142+E143+E144</f>
        <v>23</v>
      </c>
      <c r="F145" s="307">
        <f>F136+F137+F138+F139+F140+F141+F142+F143+F144</f>
        <v>27.669999999999998</v>
      </c>
      <c r="G145" s="306">
        <f>F145-E145</f>
        <v>4.669999999999998</v>
      </c>
      <c r="H145" s="240">
        <f>F145/E145</f>
        <v>1.2030434782608694</v>
      </c>
      <c r="I145" s="306">
        <f>F145-D145</f>
        <v>-153.33</v>
      </c>
      <c r="J145" s="240">
        <f>F145/D145</f>
        <v>0.15287292817679557</v>
      </c>
      <c r="K145" s="81"/>
      <c r="L145" s="81"/>
      <c r="M145" s="81"/>
      <c r="N145" s="306">
        <f>N136+N137+N138+N139+N140+N141+N142+N143+N144</f>
        <v>1238.34</v>
      </c>
      <c r="O145" s="306">
        <f>D145-N145</f>
        <v>-1057.34</v>
      </c>
      <c r="P145" s="240">
        <f>D145/N145</f>
        <v>0.14616341231002794</v>
      </c>
      <c r="Q145" s="306">
        <f>Q136+Q137+Q138+Q139+Q140+Q141+Q142+Q143+Q144</f>
        <v>29.2</v>
      </c>
      <c r="R145" s="306">
        <f>F145-Q145</f>
        <v>-1.5300000000000011</v>
      </c>
      <c r="S145" s="329">
        <f>F145/Q145</f>
        <v>0.9476027397260274</v>
      </c>
      <c r="T145" s="303"/>
      <c r="U145" s="303"/>
      <c r="V145" s="303"/>
      <c r="W145" s="303"/>
      <c r="X145" s="266">
        <f t="shared" si="48"/>
        <v>0.8014393274159994</v>
      </c>
    </row>
    <row r="146" spans="19:24" ht="15" hidden="1">
      <c r="S146" s="63"/>
      <c r="T146" s="303"/>
      <c r="U146" s="303"/>
      <c r="V146" s="303"/>
      <c r="W146" s="303"/>
      <c r="X146" s="263"/>
    </row>
    <row r="147" spans="2:24" ht="15" hidden="1">
      <c r="B147" s="218" t="s">
        <v>131</v>
      </c>
      <c r="S147" s="63"/>
      <c r="T147" s="303"/>
      <c r="U147" s="303"/>
      <c r="V147" s="303"/>
      <c r="W147" s="303"/>
      <c r="X147" s="263"/>
    </row>
    <row r="148" spans="1:24" s="6" customFormat="1" ht="30.75" hidden="1">
      <c r="A148" s="8"/>
      <c r="B148" s="250" t="str">
        <f aca="true" t="shared" si="52" ref="B148:S152">B60</f>
        <v>Адміністративний збір за проведення державної реєстрації юридичних осіб та фізичних осіб - підпр</v>
      </c>
      <c r="C148" s="293">
        <f t="shared" si="52"/>
        <v>22010300</v>
      </c>
      <c r="D148" s="312">
        <f t="shared" si="52"/>
        <v>265</v>
      </c>
      <c r="E148" s="312">
        <f t="shared" si="52"/>
        <v>85</v>
      </c>
      <c r="F148" s="314">
        <f t="shared" si="52"/>
        <v>84.59</v>
      </c>
      <c r="G148" s="312">
        <f t="shared" si="52"/>
        <v>-0.4099999999999966</v>
      </c>
      <c r="H148" s="310">
        <f t="shared" si="52"/>
        <v>0.9951764705882353</v>
      </c>
      <c r="I148" s="312">
        <f t="shared" si="52"/>
        <v>-180.41</v>
      </c>
      <c r="J148" s="310">
        <f t="shared" si="52"/>
        <v>0.3192075471698113</v>
      </c>
      <c r="K148" s="107">
        <f t="shared" si="52"/>
        <v>0</v>
      </c>
      <c r="L148" s="107">
        <f t="shared" si="52"/>
        <v>0</v>
      </c>
      <c r="M148" s="107">
        <f t="shared" si="52"/>
        <v>0</v>
      </c>
      <c r="N148" s="312">
        <f t="shared" si="52"/>
        <v>1205.14</v>
      </c>
      <c r="O148" s="312">
        <f t="shared" si="52"/>
        <v>-940.1400000000001</v>
      </c>
      <c r="P148" s="310">
        <f t="shared" si="52"/>
        <v>0.21989146489204572</v>
      </c>
      <c r="Q148" s="312">
        <f t="shared" si="52"/>
        <v>89.45</v>
      </c>
      <c r="R148" s="315">
        <f t="shared" si="52"/>
        <v>-4.859999999999999</v>
      </c>
      <c r="S148" s="310">
        <f t="shared" si="52"/>
        <v>0.9456679709334824</v>
      </c>
      <c r="T148" s="300"/>
      <c r="U148" s="300"/>
      <c r="V148" s="300"/>
      <c r="W148" s="300"/>
      <c r="X148" s="263">
        <f aca="true" t="shared" si="53" ref="X148:X153">S148-P148</f>
        <v>0.7257765060414367</v>
      </c>
    </row>
    <row r="149" spans="1:24" s="6" customFormat="1" ht="15" hidden="1">
      <c r="A149" s="8"/>
      <c r="B149" s="250" t="str">
        <f t="shared" si="52"/>
        <v>Плата за сертифікати</v>
      </c>
      <c r="C149" s="293">
        <f t="shared" si="52"/>
        <v>22010200</v>
      </c>
      <c r="D149" s="312">
        <f t="shared" si="52"/>
        <v>0</v>
      </c>
      <c r="E149" s="312">
        <f t="shared" si="52"/>
        <v>0</v>
      </c>
      <c r="F149" s="314">
        <f t="shared" si="52"/>
        <v>0</v>
      </c>
      <c r="G149" s="312">
        <f t="shared" si="52"/>
        <v>0</v>
      </c>
      <c r="H149" s="310" t="e">
        <f t="shared" si="52"/>
        <v>#DIV/0!</v>
      </c>
      <c r="I149" s="312">
        <f t="shared" si="52"/>
        <v>0</v>
      </c>
      <c r="J149" s="310" t="e">
        <f t="shared" si="52"/>
        <v>#DIV/0!</v>
      </c>
      <c r="K149" s="107">
        <f t="shared" si="52"/>
        <v>0</v>
      </c>
      <c r="L149" s="107">
        <f t="shared" si="52"/>
        <v>0</v>
      </c>
      <c r="M149" s="107">
        <f t="shared" si="52"/>
        <v>0</v>
      </c>
      <c r="N149" s="312">
        <f t="shared" si="52"/>
        <v>23.38</v>
      </c>
      <c r="O149" s="312">
        <f t="shared" si="52"/>
        <v>-23.38</v>
      </c>
      <c r="P149" s="310">
        <f t="shared" si="52"/>
        <v>0</v>
      </c>
      <c r="Q149" s="312">
        <f t="shared" si="52"/>
        <v>0</v>
      </c>
      <c r="R149" s="315">
        <f t="shared" si="52"/>
        <v>0</v>
      </c>
      <c r="S149" s="310">
        <f t="shared" si="52"/>
        <v>0</v>
      </c>
      <c r="T149" s="300"/>
      <c r="U149" s="300"/>
      <c r="V149" s="300"/>
      <c r="W149" s="300"/>
      <c r="X149" s="263">
        <f t="shared" si="53"/>
        <v>0</v>
      </c>
    </row>
    <row r="150" spans="1:24" s="6" customFormat="1" ht="15" hidden="1">
      <c r="A150" s="8"/>
      <c r="B150" s="256" t="str">
        <f t="shared" si="52"/>
        <v>Плата за надання інших адміністративних послуг</v>
      </c>
      <c r="C150" s="294">
        <f t="shared" si="52"/>
        <v>22012500</v>
      </c>
      <c r="D150" s="313">
        <f t="shared" si="52"/>
        <v>4900</v>
      </c>
      <c r="E150" s="313">
        <f t="shared" si="52"/>
        <v>1500</v>
      </c>
      <c r="F150" s="331">
        <f t="shared" si="52"/>
        <v>1830.59</v>
      </c>
      <c r="G150" s="313">
        <f t="shared" si="52"/>
        <v>330.5899999999999</v>
      </c>
      <c r="H150" s="311">
        <f t="shared" si="52"/>
        <v>1.2203933333333332</v>
      </c>
      <c r="I150" s="313">
        <f t="shared" si="52"/>
        <v>-3069.41</v>
      </c>
      <c r="J150" s="311">
        <f t="shared" si="52"/>
        <v>0.37358979591836733</v>
      </c>
      <c r="K150" s="29">
        <f t="shared" si="52"/>
        <v>0</v>
      </c>
      <c r="L150" s="29">
        <f t="shared" si="52"/>
        <v>0</v>
      </c>
      <c r="M150" s="29">
        <f t="shared" si="52"/>
        <v>0</v>
      </c>
      <c r="N150" s="313">
        <f t="shared" si="52"/>
        <v>20110.14</v>
      </c>
      <c r="O150" s="313">
        <f t="shared" si="52"/>
        <v>-15210.14</v>
      </c>
      <c r="P150" s="311">
        <f t="shared" si="52"/>
        <v>0.2436581744333953</v>
      </c>
      <c r="Q150" s="313">
        <f t="shared" si="52"/>
        <v>1052.56</v>
      </c>
      <c r="R150" s="332">
        <f t="shared" si="52"/>
        <v>778.03</v>
      </c>
      <c r="S150" s="311">
        <f t="shared" si="52"/>
        <v>1.7391787641559626</v>
      </c>
      <c r="T150" s="304"/>
      <c r="U150" s="304"/>
      <c r="V150" s="304"/>
      <c r="W150" s="304"/>
      <c r="X150" s="263">
        <f t="shared" si="53"/>
        <v>1.4955205897225674</v>
      </c>
    </row>
    <row r="151" spans="1:24" s="6" customFormat="1" ht="30.75" hidden="1">
      <c r="A151" s="8"/>
      <c r="B151" s="256" t="str">
        <f t="shared" si="52"/>
        <v>Адміністративний збір за державну реєстрацію речових прав на нерухоме майно та їх обтяжень</v>
      </c>
      <c r="C151" s="294">
        <f t="shared" si="52"/>
        <v>22012600</v>
      </c>
      <c r="D151" s="313">
        <f t="shared" si="52"/>
        <v>255</v>
      </c>
      <c r="E151" s="313">
        <f t="shared" si="52"/>
        <v>85</v>
      </c>
      <c r="F151" s="331">
        <f t="shared" si="52"/>
        <v>56.73</v>
      </c>
      <c r="G151" s="313">
        <f t="shared" si="52"/>
        <v>-28.270000000000003</v>
      </c>
      <c r="H151" s="311">
        <f t="shared" si="52"/>
        <v>0.6674117647058824</v>
      </c>
      <c r="I151" s="313">
        <f t="shared" si="52"/>
        <v>-198.27</v>
      </c>
      <c r="J151" s="311">
        <f t="shared" si="52"/>
        <v>0.22247058823529411</v>
      </c>
      <c r="K151" s="29">
        <f t="shared" si="52"/>
        <v>0</v>
      </c>
      <c r="L151" s="29">
        <f t="shared" si="52"/>
        <v>0</v>
      </c>
      <c r="M151" s="29">
        <f t="shared" si="52"/>
        <v>0</v>
      </c>
      <c r="N151" s="313">
        <f t="shared" si="52"/>
        <v>710.04</v>
      </c>
      <c r="O151" s="313">
        <f t="shared" si="52"/>
        <v>-455.03999999999996</v>
      </c>
      <c r="P151" s="311">
        <f t="shared" si="52"/>
        <v>0.3591346966368092</v>
      </c>
      <c r="Q151" s="313">
        <f t="shared" si="52"/>
        <v>44.53</v>
      </c>
      <c r="R151" s="332">
        <f t="shared" si="52"/>
        <v>12.199999999999996</v>
      </c>
      <c r="S151" s="311">
        <f t="shared" si="52"/>
        <v>1.273972602739726</v>
      </c>
      <c r="T151" s="304"/>
      <c r="U151" s="304"/>
      <c r="V151" s="304"/>
      <c r="W151" s="304"/>
      <c r="X151" s="263">
        <f t="shared" si="53"/>
        <v>0.9148379061029168</v>
      </c>
    </row>
    <row r="152" spans="1:24" s="6" customFormat="1" ht="30.75" hidden="1">
      <c r="A152" s="8"/>
      <c r="B152" s="256" t="str">
        <f t="shared" si="52"/>
        <v>Плата за скорочення термінів надання послуг у сфері державної реєстрації речових прав на нерухоме майно</v>
      </c>
      <c r="C152" s="294">
        <f t="shared" si="52"/>
        <v>22012900</v>
      </c>
      <c r="D152" s="313">
        <f t="shared" si="52"/>
        <v>3</v>
      </c>
      <c r="E152" s="313">
        <f t="shared" si="52"/>
        <v>1</v>
      </c>
      <c r="F152" s="331">
        <f t="shared" si="52"/>
        <v>1.06</v>
      </c>
      <c r="G152" s="313">
        <f t="shared" si="52"/>
        <v>0.06000000000000005</v>
      </c>
      <c r="H152" s="311">
        <f t="shared" si="52"/>
        <v>1.06</v>
      </c>
      <c r="I152" s="313">
        <f t="shared" si="52"/>
        <v>-1.94</v>
      </c>
      <c r="J152" s="311">
        <f t="shared" si="52"/>
        <v>0.35333333333333333</v>
      </c>
      <c r="K152" s="29">
        <f t="shared" si="52"/>
        <v>0</v>
      </c>
      <c r="L152" s="29">
        <f t="shared" si="52"/>
        <v>0</v>
      </c>
      <c r="M152" s="29">
        <f t="shared" si="52"/>
        <v>0</v>
      </c>
      <c r="N152" s="313">
        <f t="shared" si="52"/>
        <v>41.44</v>
      </c>
      <c r="O152" s="313">
        <f t="shared" si="52"/>
        <v>-38.44</v>
      </c>
      <c r="P152" s="311">
        <f t="shared" si="52"/>
        <v>0.0723938223938224</v>
      </c>
      <c r="Q152" s="313">
        <f t="shared" si="52"/>
        <v>0</v>
      </c>
      <c r="R152" s="332">
        <f t="shared" si="52"/>
        <v>1.06</v>
      </c>
      <c r="S152" s="311" t="e">
        <f t="shared" si="52"/>
        <v>#DIV/0!</v>
      </c>
      <c r="T152" s="304"/>
      <c r="U152" s="304"/>
      <c r="V152" s="304"/>
      <c r="W152" s="304"/>
      <c r="X152" s="263" t="e">
        <f t="shared" si="53"/>
        <v>#DIV/0!</v>
      </c>
    </row>
    <row r="153" spans="2:24" ht="15" hidden="1">
      <c r="B153" s="218" t="s">
        <v>131</v>
      </c>
      <c r="C153" s="336">
        <v>22010000</v>
      </c>
      <c r="D153" s="306">
        <f>D148+D149+D150+D151+D152</f>
        <v>5423</v>
      </c>
      <c r="E153" s="306">
        <f>E148+E149+E150+E151+E152</f>
        <v>1671</v>
      </c>
      <c r="F153" s="307">
        <f>F148+F149+F150+F151+F152</f>
        <v>1972.9699999999998</v>
      </c>
      <c r="G153" s="306">
        <f>F153-E153</f>
        <v>301.9699999999998</v>
      </c>
      <c r="H153" s="240">
        <f>F153/E153</f>
        <v>1.1807121484141232</v>
      </c>
      <c r="I153" s="306">
        <f>F153-D153</f>
        <v>-3450.03</v>
      </c>
      <c r="J153" s="240">
        <f>F153/D153</f>
        <v>0.36381523142172223</v>
      </c>
      <c r="K153" s="81"/>
      <c r="L153" s="81"/>
      <c r="M153" s="81"/>
      <c r="N153" s="306">
        <f>N148+N149+N150+N151+N152</f>
        <v>22090.14</v>
      </c>
      <c r="O153" s="306">
        <f>D153-N153</f>
        <v>-16667.14</v>
      </c>
      <c r="P153" s="240">
        <f>D153/N153</f>
        <v>0.24549414354096444</v>
      </c>
      <c r="Q153" s="306">
        <f>Q148+Q149+Q150+Q151+Q152</f>
        <v>1186.54</v>
      </c>
      <c r="R153" s="306">
        <f>F153-Q153</f>
        <v>786.4299999999998</v>
      </c>
      <c r="S153" s="240">
        <f>F153/Q153</f>
        <v>1.6627926576432315</v>
      </c>
      <c r="T153" s="303"/>
      <c r="U153" s="303"/>
      <c r="V153" s="303"/>
      <c r="W153" s="303"/>
      <c r="X153" s="266">
        <f t="shared" si="53"/>
        <v>1.4172985141022671</v>
      </c>
    </row>
    <row r="154" spans="20:24" ht="15" hidden="1">
      <c r="T154" s="303"/>
      <c r="U154" s="303"/>
      <c r="V154" s="303"/>
      <c r="W154" s="303"/>
      <c r="X154" s="263"/>
    </row>
    <row r="155" spans="20:24" ht="15" hidden="1">
      <c r="T155" s="303"/>
      <c r="U155" s="303"/>
      <c r="V155" s="303"/>
      <c r="W155" s="303"/>
      <c r="X155" s="263"/>
    </row>
    <row r="156" spans="2:24" ht="15" hidden="1">
      <c r="B156" s="218" t="s">
        <v>144</v>
      </c>
      <c r="T156" s="303"/>
      <c r="U156" s="303"/>
      <c r="V156" s="303"/>
      <c r="W156" s="303"/>
      <c r="X156" s="263"/>
    </row>
    <row r="157" spans="1:24" s="6" customFormat="1" ht="15.75" customHeight="1" hidden="1">
      <c r="A157" s="8"/>
      <c r="B157" s="257" t="str">
        <f>B72</f>
        <v>Інші надходження</v>
      </c>
      <c r="C157" s="296" t="str">
        <f>C72</f>
        <v>24060300</v>
      </c>
      <c r="D157" s="327">
        <f aca="true" t="shared" si="54" ref="D157:S157">D72</f>
        <v>1500</v>
      </c>
      <c r="E157" s="327">
        <f t="shared" si="54"/>
        <v>500</v>
      </c>
      <c r="F157" s="333">
        <f t="shared" si="54"/>
        <v>500.55</v>
      </c>
      <c r="G157" s="327">
        <f t="shared" si="54"/>
        <v>0.5500000000000114</v>
      </c>
      <c r="H157" s="309">
        <f t="shared" si="54"/>
        <v>1.0011</v>
      </c>
      <c r="I157" s="327">
        <f t="shared" si="54"/>
        <v>-999.45</v>
      </c>
      <c r="J157" s="309">
        <f t="shared" si="54"/>
        <v>0.3337</v>
      </c>
      <c r="K157" s="295">
        <f t="shared" si="54"/>
        <v>0</v>
      </c>
      <c r="L157" s="295">
        <f t="shared" si="54"/>
        <v>0</v>
      </c>
      <c r="M157" s="295">
        <f t="shared" si="54"/>
        <v>0</v>
      </c>
      <c r="N157" s="327">
        <f t="shared" si="54"/>
        <v>8086.92</v>
      </c>
      <c r="O157" s="327">
        <f t="shared" si="54"/>
        <v>-6586.92</v>
      </c>
      <c r="P157" s="309">
        <f t="shared" si="54"/>
        <v>0.18548470864061967</v>
      </c>
      <c r="Q157" s="327">
        <f t="shared" si="54"/>
        <v>2247.33</v>
      </c>
      <c r="R157" s="327">
        <f t="shared" si="54"/>
        <v>-1746.78</v>
      </c>
      <c r="S157" s="309">
        <f t="shared" si="54"/>
        <v>0.2227309740892526</v>
      </c>
      <c r="T157" s="305"/>
      <c r="U157" s="305"/>
      <c r="V157" s="305"/>
      <c r="W157" s="305"/>
      <c r="X157" s="263">
        <f>S157-P157</f>
        <v>0.03724626544863294</v>
      </c>
    </row>
    <row r="158" spans="1:24" s="6" customFormat="1" ht="44.25" customHeight="1" hidden="1">
      <c r="A158" s="8"/>
      <c r="B158" s="2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296">
        <f>C76</f>
        <v>24061900</v>
      </c>
      <c r="D158" s="327">
        <f aca="true" t="shared" si="55" ref="D158:S158">D76</f>
        <v>10</v>
      </c>
      <c r="E158" s="327">
        <f t="shared" si="55"/>
        <v>10</v>
      </c>
      <c r="F158" s="333">
        <f t="shared" si="55"/>
        <v>0</v>
      </c>
      <c r="G158" s="327">
        <f t="shared" si="55"/>
        <v>-10</v>
      </c>
      <c r="H158" s="309">
        <f t="shared" si="55"/>
        <v>0</v>
      </c>
      <c r="I158" s="327">
        <f t="shared" si="55"/>
        <v>-10</v>
      </c>
      <c r="J158" s="309">
        <f t="shared" si="55"/>
        <v>0</v>
      </c>
      <c r="K158" s="295">
        <f t="shared" si="55"/>
        <v>0</v>
      </c>
      <c r="L158" s="295">
        <f t="shared" si="55"/>
        <v>0</v>
      </c>
      <c r="M158" s="295">
        <f t="shared" si="55"/>
        <v>0</v>
      </c>
      <c r="N158" s="327">
        <f t="shared" si="55"/>
        <v>142.18</v>
      </c>
      <c r="O158" s="327">
        <f t="shared" si="55"/>
        <v>-132.18</v>
      </c>
      <c r="P158" s="309">
        <f t="shared" si="55"/>
        <v>0.07033338022225348</v>
      </c>
      <c r="Q158" s="327">
        <f t="shared" si="55"/>
        <v>32.89</v>
      </c>
      <c r="R158" s="327">
        <f t="shared" si="55"/>
        <v>-32.89</v>
      </c>
      <c r="S158" s="309">
        <f t="shared" si="55"/>
        <v>0</v>
      </c>
      <c r="T158" s="305"/>
      <c r="U158" s="305"/>
      <c r="V158" s="305"/>
      <c r="W158" s="305"/>
      <c r="X158" s="263">
        <f>S158-P158</f>
        <v>-0.07033338022225348</v>
      </c>
    </row>
    <row r="159" spans="2:24" ht="15" hidden="1">
      <c r="B159" s="218" t="s">
        <v>144</v>
      </c>
      <c r="C159" s="335">
        <v>24060000</v>
      </c>
      <c r="D159" s="306">
        <f>D157+D158</f>
        <v>1510</v>
      </c>
      <c r="E159" s="306">
        <f>E157+E158</f>
        <v>510</v>
      </c>
      <c r="F159" s="307">
        <f>F157+F158</f>
        <v>500.55</v>
      </c>
      <c r="G159" s="308">
        <f>F159-E159</f>
        <v>-9.449999999999989</v>
      </c>
      <c r="H159" s="240">
        <f>F159/E159</f>
        <v>0.9814705882352941</v>
      </c>
      <c r="I159" s="306">
        <f>F159-D159</f>
        <v>-1009.45</v>
      </c>
      <c r="J159" s="240">
        <f>F159/D159</f>
        <v>0.3314900662251656</v>
      </c>
      <c r="K159" s="81"/>
      <c r="L159" s="81"/>
      <c r="M159" s="81"/>
      <c r="N159" s="306">
        <f>N157+N158</f>
        <v>8229.1</v>
      </c>
      <c r="O159" s="306">
        <f>D159-N159</f>
        <v>-6719.1</v>
      </c>
      <c r="P159" s="240">
        <f>D159/N159</f>
        <v>0.18349515742912348</v>
      </c>
      <c r="Q159" s="306">
        <f>Q157+Q158</f>
        <v>2280.22</v>
      </c>
      <c r="R159" s="306">
        <f>F159-Q159</f>
        <v>-1779.6699999999998</v>
      </c>
      <c r="S159" s="240">
        <f>F159/Q159</f>
        <v>0.21951829209462248</v>
      </c>
      <c r="T159" s="303"/>
      <c r="U159" s="303"/>
      <c r="V159" s="303"/>
      <c r="W159" s="303"/>
      <c r="X159" s="266">
        <f>S159-P159</f>
        <v>0.036023134665499</v>
      </c>
    </row>
    <row r="160" spans="20:23" ht="15" hidden="1">
      <c r="T160" s="303"/>
      <c r="U160" s="303"/>
      <c r="V160" s="303"/>
      <c r="W160" s="303"/>
    </row>
    <row r="161" spans="20:23" ht="15" hidden="1">
      <c r="T161" s="303"/>
      <c r="U161" s="303"/>
      <c r="V161" s="303"/>
      <c r="W161" s="303"/>
    </row>
    <row r="162" spans="20:23" ht="15" hidden="1">
      <c r="T162" s="303"/>
      <c r="U162" s="303"/>
      <c r="V162" s="303"/>
      <c r="W162" s="303"/>
    </row>
    <row r="163" spans="20:23" ht="15" hidden="1">
      <c r="T163" s="303"/>
      <c r="U163" s="303"/>
      <c r="V163" s="303"/>
      <c r="W163" s="303"/>
    </row>
    <row r="164" spans="20:23" ht="15" hidden="1">
      <c r="T164" s="303"/>
      <c r="U164" s="303"/>
      <c r="V164" s="303"/>
      <c r="W164" s="303"/>
    </row>
    <row r="165" spans="20:23" ht="15" hidden="1">
      <c r="T165" s="303"/>
      <c r="U165" s="303"/>
      <c r="V165" s="303"/>
      <c r="W165" s="303"/>
    </row>
    <row r="166" spans="20:23" ht="15">
      <c r="T166" s="303"/>
      <c r="U166" s="303"/>
      <c r="V166" s="303"/>
      <c r="W166" s="303"/>
    </row>
    <row r="167" spans="20:23" ht="15">
      <c r="T167" s="303"/>
      <c r="U167" s="303"/>
      <c r="V167" s="303"/>
      <c r="W167" s="303"/>
    </row>
    <row r="168" spans="20:23" ht="15">
      <c r="T168" s="303"/>
      <c r="U168" s="303"/>
      <c r="V168" s="303"/>
      <c r="W168" s="3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" top="0.15748031496062992" bottom="0" header="0" footer="0"/>
  <pageSetup fitToHeight="1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2018-01-31T09:29:52Z</cp:lastPrinted>
  <dcterms:created xsi:type="dcterms:W3CDTF">2003-07-28T11:27:56Z</dcterms:created>
  <dcterms:modified xsi:type="dcterms:W3CDTF">2018-01-31T09:37:38Z</dcterms:modified>
  <cp:category/>
  <cp:version/>
  <cp:contentType/>
  <cp:contentStatus/>
</cp:coreProperties>
</file>